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'idls10'!$AD$70:$AD$141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'idls10'!$Z$248:$AD$256</definedName>
    <definedName name="RETID_TABLE">'idls10'!$Z$3:$AD$242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fullCalcOnLoad="1"/>
</workbook>
</file>

<file path=xl/sharedStrings.xml><?xml version="1.0" encoding="utf-8"?>
<sst xmlns="http://schemas.openxmlformats.org/spreadsheetml/2006/main" count="1191" uniqueCount="622">
  <si>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</si>
  <si>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</si>
  <si>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</si>
  <si>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</si>
  <si>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</si>
  <si>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</si>
  <si>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</si>
  <si>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</si>
  <si>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</si>
  <si>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</si>
  <si>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</si>
  <si>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</si>
  <si>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</si>
  <si>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</si>
  <si>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</si>
  <si>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</si>
  <si>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</si>
  <si>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</si>
  <si>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</si>
  <si>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</si>
  <si>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</si>
  <si>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</si>
  <si>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</si>
  <si>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</si>
  <si>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</si>
  <si>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</si>
  <si>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</si>
  <si>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</si>
  <si>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</si>
  <si>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</si>
  <si>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</si>
  <si>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</si>
  <si>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</si>
  <si>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</si>
  <si>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</si>
  <si>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</si>
  <si>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</si>
  <si>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</si>
  <si>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</si>
  <si>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</si>
  <si>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</si>
  <si>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</si>
  <si>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</si>
  <si>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</si>
  <si>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</si>
  <si>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</si>
  <si>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</si>
  <si>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</si>
  <si>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</si>
  <si>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</si>
  <si>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</si>
  <si>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</si>
  <si>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</si>
  <si>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</si>
  <si>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</si>
  <si>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</si>
  <si>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</si>
  <si>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</si>
  <si>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</si>
  <si>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</si>
  <si>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</si>
  <si>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</si>
  <si>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</si>
  <si>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</si>
  <si>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</si>
  <si>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</si>
  <si>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</si>
  <si>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</si>
  <si>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</si>
  <si>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</si>
  <si>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</si>
  <si>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</si>
  <si>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</si>
  <si>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</si>
  <si>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</si>
  <si>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</si>
  <si>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</si>
  <si>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</si>
  <si>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</si>
  <si>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</si>
  <si>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</si>
  <si>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</si>
  <si>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</si>
  <si>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</si>
  <si>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</si>
  <si>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</si>
  <si>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</si>
  <si>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</si>
  <si>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</si>
  <si>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</si>
  <si>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</si>
  <si>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</si>
  <si>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</si>
  <si>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</si>
  <si>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</si>
  <si>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</si>
  <si>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</si>
  <si>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</si>
  <si>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</si>
  <si>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</si>
  <si>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</si>
  <si>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</si>
  <si>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</si>
  <si>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</si>
  <si>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</si>
  <si>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</si>
  <si>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</si>
  <si>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</si>
  <si>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</si>
  <si>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</si>
  <si>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</si>
  <si>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</si>
  <si>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</si>
  <si>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</si>
  <si>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</si>
  <si>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</si>
  <si>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</si>
  <si>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</si>
  <si>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</si>
  <si>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</si>
  <si>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</si>
  <si>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</si>
  <si>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</si>
  <si>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</si>
  <si>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</si>
  <si>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</si>
  <si>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</si>
  <si>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</si>
  <si>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</si>
  <si>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</si>
  <si>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</si>
  <si>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</si>
  <si>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</si>
  <si>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</si>
  <si>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</si>
  <si>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</si>
  <si>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</si>
  <si>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</si>
  <si>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</si>
  <si>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</si>
  <si>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</si>
  <si>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</si>
  <si>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</si>
  <si>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</si>
  <si>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</si>
  <si>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</si>
  <si>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</si>
  <si>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</si>
  <si>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</si>
  <si>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</si>
  <si>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</si>
  <si>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</si>
  <si>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</si>
  <si>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</si>
  <si>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</si>
  <si>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</si>
  <si>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</si>
  <si>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</si>
  <si>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</si>
  <si>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</si>
  <si>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</si>
  <si>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</si>
  <si>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</si>
  <si>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</si>
  <si>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</si>
  <si>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</si>
  <si>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</si>
  <si>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</si>
  <si>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</si>
  <si>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</si>
  <si>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</si>
  <si>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</si>
  <si>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</si>
  <si>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</si>
  <si>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</si>
  <si>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</si>
  <si>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</si>
  <si>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</si>
  <si>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</si>
  <si>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</si>
  <si>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</si>
  <si>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</si>
  <si>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</si>
  <si>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</si>
  <si>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</si>
  <si>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</si>
  <si>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</si>
  <si>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</si>
  <si>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</si>
  <si>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</si>
  <si>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</si>
  <si>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</si>
  <si>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</si>
  <si>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</si>
  <si>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</si>
  <si>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</si>
  <si>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</si>
  <si>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</si>
  <si>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</si>
  <si>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</si>
  <si>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</si>
  <si>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</si>
  <si>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</si>
  <si>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</si>
  <si>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</si>
  <si>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</si>
  <si>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</si>
  <si>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</si>
  <si>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</si>
  <si>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</si>
  <si>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</si>
  <si>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</si>
  <si>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</si>
  <si>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</si>
  <si>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</si>
  <si>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</si>
  <si>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</si>
  <si>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</si>
  <si>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</si>
  <si>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</si>
  <si>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</si>
  <si>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</si>
  <si>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</si>
  <si>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</si>
  <si>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</si>
  <si>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</si>
  <si>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</si>
  <si>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</si>
  <si>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</si>
  <si>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</si>
  <si>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</si>
  <si>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</si>
  <si>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</si>
  <si>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</si>
  <si>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</si>
  <si>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</si>
  <si>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</si>
  <si>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</si>
  <si>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</si>
  <si>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</si>
  <si>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</si>
  <si>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</si>
  <si>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</si>
  <si>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</si>
  <si>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</si>
  <si>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</si>
  <si>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</si>
  <si>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</si>
  <si>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</si>
  <si>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</si>
  <si>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</si>
  <si>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</si>
  <si>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</si>
  <si>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</si>
  <si>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</si>
  <si>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</si>
  <si>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</si>
  <si>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</si>
  <si>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</si>
  <si>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</si>
  <si>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</si>
  <si>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</si>
  <si>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</si>
  <si>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</si>
  <si>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</si>
  <si>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</si>
  <si>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</si>
  <si>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</si>
  <si>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</si>
  <si>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</si>
  <si>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</si>
  <si>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</si>
  <si>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</si>
  <si>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</si>
  <si>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</si>
  <si>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</si>
  <si>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</si>
  <si>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</si>
  <si>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</si>
  <si>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</si>
  <si>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</si>
  <si>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</si>
  <si>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</si>
  <si>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</si>
  <si>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</si>
  <si>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</si>
  <si>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</si>
  <si>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</si>
  <si>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</si>
  <si>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</si>
  <si>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</si>
  <si>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</si>
  <si>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</si>
  <si>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</si>
  <si>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</si>
  <si>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</si>
  <si>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</si>
  <si>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</si>
  <si>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</si>
  <si>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</si>
  <si>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</si>
  <si>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</si>
  <si>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</si>
  <si>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</si>
  <si>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</si>
  <si>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</si>
  <si>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</si>
  <si>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</si>
  <si>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</si>
  <si>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</si>
  <si>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</si>
  <si>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</si>
  <si>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</si>
  <si>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</si>
  <si>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</si>
  <si>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</si>
  <si>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</si>
  <si>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</si>
  <si>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</si>
  <si>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</si>
  <si>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</si>
  <si>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</si>
  <si>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</si>
  <si>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</si>
  <si>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</si>
  <si>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</si>
  <si>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</si>
  <si>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</si>
  <si>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</si>
  <si>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</si>
  <si>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</si>
  <si>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</si>
  <si>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</si>
  <si>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</si>
  <si>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</si>
  <si>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</si>
  <si>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</si>
  <si>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</si>
  <si>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</si>
  <si>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</si>
  <si>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</si>
  <si>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</si>
  <si>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</si>
  <si>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</si>
  <si>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</si>
  <si>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</si>
  <si>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</si>
  <si>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</si>
  <si>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</si>
  <si>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</si>
  <si>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</si>
  <si>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</si>
  <si>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</si>
  <si>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</si>
  <si>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</si>
  <si>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</si>
  <si>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</si>
  <si>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</si>
  <si>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</si>
  <si>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</si>
  <si>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</si>
  <si>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</si>
  <si>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</si>
  <si>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</si>
  <si>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</si>
  <si>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</si>
  <si>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</si>
  <si>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</si>
  <si>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</si>
  <si>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</si>
  <si>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</si>
  <si>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</si>
  <si>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</si>
  <si>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</si>
  <si>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</si>
  <si>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</si>
  <si>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</si>
  <si>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</si>
  <si>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</si>
  <si>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</si>
  <si>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</si>
  <si>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</si>
  <si>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</si>
  <si>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</si>
  <si>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</si>
  <si>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</si>
  <si>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</si>
  <si>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</si>
  <si>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</si>
  <si>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</si>
  <si>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</si>
  <si>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</si>
  <si>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</si>
  <si>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</si>
  <si>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</si>
  <si>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</si>
  <si>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</si>
  <si>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</si>
  <si>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</si>
  <si>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</si>
  <si>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</si>
  <si>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</si>
  <si>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</si>
  <si>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</si>
  <si>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</si>
  <si>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</si>
  <si>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</si>
  <si>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</si>
  <si>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</si>
  <si>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</si>
  <si>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</si>
  <si>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</si>
  <si>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</si>
  <si>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</si>
  <si>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</si>
  <si>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</si>
  <si>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</si>
  <si>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</si>
  <si>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</si>
  <si>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</si>
  <si>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</si>
  <si>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</si>
  <si>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</si>
  <si>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</si>
  <si>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</si>
  <si>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</si>
  <si>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</si>
  <si>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</si>
  <si>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</si>
  <si>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</si>
  <si>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</si>
  <si>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</si>
  <si>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</si>
  <si>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</si>
  <si>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</si>
  <si>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</si>
  <si>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</si>
  <si>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</si>
  <si>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</si>
  <si>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</si>
  <si>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</si>
  <si>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</si>
  <si>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</si>
  <si>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</si>
  <si>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</si>
  <si>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</si>
  <si>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</si>
  <si>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</si>
  <si>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</si>
  <si>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</si>
  <si>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</si>
  <si>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</si>
  <si>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</si>
  <si>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</si>
  <si>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</si>
  <si>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</si>
  <si>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</si>
  <si>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</si>
  <si>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</si>
  <si>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</si>
  <si>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</si>
  <si>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</si>
  <si>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</si>
  <si>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</si>
  <si>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</si>
  <si>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</si>
  <si>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</si>
  <si>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</si>
  <si>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</si>
  <si>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</si>
  <si>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</si>
  <si>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</si>
  <si>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</si>
  <si>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</si>
  <si>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</si>
  <si>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</si>
  <si>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</si>
  <si>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</si>
  <si>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</si>
  <si>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</si>
  <si>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</si>
  <si>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</si>
  <si>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</si>
  <si>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</si>
  <si>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</si>
  <si>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</si>
  <si>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</si>
  <si>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</si>
  <si>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</si>
  <si>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</si>
  <si>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</si>
  <si>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</si>
  <si>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</si>
  <si>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</si>
  <si>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</si>
  <si>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</si>
  <si>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</si>
  <si>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</si>
  <si>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</si>
  <si>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</si>
  <si>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</si>
  <si>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</si>
  <si>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</si>
  <si>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</si>
  <si>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</si>
  <si>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</si>
  <si>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</si>
  <si>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</si>
  <si>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</si>
  <si>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</si>
  <si>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</si>
  <si>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</si>
  <si>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</si>
  <si>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</si>
  <si>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</si>
  <si>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</si>
  <si>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</si>
  <si>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</si>
  <si>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</si>
  <si>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</si>
  <si>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</si>
  <si>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</si>
  <si>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</si>
  <si>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</si>
  <si>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</si>
  <si>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</si>
  <si>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</si>
  <si>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</si>
  <si>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</si>
  <si>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</si>
  <si>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</si>
  <si>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</si>
  <si>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</si>
  <si>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</si>
  <si>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</si>
  <si>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</si>
  <si>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</si>
  <si>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</si>
  <si>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</si>
  <si>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</si>
  <si>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</si>
  <si>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</si>
  <si>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SPECIAL RETIRE INFO 11/2/10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</si>
  <si>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</si>
  <si>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</si>
  <si>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</si>
  <si>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</si>
  <si>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</si>
  <si>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Taxes Effeictive 1/1/11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</si>
  <si>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</si>
  <si>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</si>
  <si>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</si>
  <si>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</si>
  <si>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</si>
  <si>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</si>
  <si>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</si>
  <si>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</si>
  <si>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</si>
  <si>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</si>
  <si>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</si>
  <si>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</si>
  <si>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</si>
  <si>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</si>
  <si>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</si>
  <si>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</si>
  <si>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</si>
  <si>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</si>
  <si>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</si>
  <si>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</si>
  <si>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</si>
  <si>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</si>
  <si>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</si>
  <si>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</si>
  <si>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</si>
  <si>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</si>
  <si>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</si>
  <si>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</si>
  <si>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</si>
  <si>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</si>
  <si>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</si>
  <si>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</si>
  <si>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</si>
  <si>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</si>
  <si>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</si>
  <si>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</si>
  <si>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</si>
  <si>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</si>
  <si>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</si>
  <si>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</si>
  <si>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</si>
  <si>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</si>
  <si>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</si>
  <si>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</si>
  <si>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</si>
  <si>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</si>
  <si>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</si>
  <si>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</si>
  <si>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</si>
  <si>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</si>
  <si>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</si>
  <si>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</si>
  <si>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</si>
  <si>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</si>
  <si>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EFF. 1/1/12</t>
  </si>
  <si>
    <t>rev. 12/28/119:28 AM</t>
  </si>
  <si>
    <t>CALIFORNIA STATE CONTROLLER'S OFFICE IDL SUPPLEMENTATION CALCULATOR-2012 (EFF. 1/1/12)</t>
  </si>
  <si>
    <t>r06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</si>
  <si>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</si>
  <si>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</si>
  <si>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</si>
  <si>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</si>
  <si>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</si>
  <si>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pruposes.  (NOTE: This calculates only the Calfornia state tax).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</si>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</sst>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56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605</v>
      </c>
      <c r="B1" s="12"/>
      <c r="C1" s="12"/>
      <c r="D1" s="12"/>
      <c r="E1" s="12"/>
      <c r="F1" s="12"/>
      <c r="J1" s="182" t="s">
        <v>305</v>
      </c>
      <c r="K1" s="182"/>
      <c r="L1" s="13"/>
      <c r="M1" s="14" t="s">
        <v>313</v>
      </c>
      <c r="N1" s="14">
        <f>Reg_Net_Grs+IDL_Full</f>
        <v>0</v>
      </c>
      <c r="P1" s="15" t="s">
        <v>317</v>
      </c>
      <c r="Q1" s="14">
        <f>IF(G3="H",Salary_Rate,IF(ISBLANK(Time_Base),Salary_Rate,(Salary_Rate/RIGHT(Time_Base,3))*LEFT(Time_Base,3)))</f>
        <v>5000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603</v>
      </c>
      <c r="H2" s="17"/>
      <c r="J2" s="7" t="s">
        <v>195</v>
      </c>
      <c r="K2" s="14">
        <f>ROUND(SUM(K3:K5),2)</f>
        <v>5000</v>
      </c>
      <c r="L2" s="18"/>
      <c r="M2" s="14" t="s">
        <v>280</v>
      </c>
      <c r="N2" s="14">
        <f>N24+N7</f>
        <v>-863</v>
      </c>
      <c r="P2" s="14" t="s">
        <v>187</v>
      </c>
      <c r="R2" s="14" t="s">
        <v>277</v>
      </c>
      <c r="S2" s="14" t="str">
        <f>VLOOKUP(CAT,RETID_TABLE,4)</f>
        <v>M</v>
      </c>
      <c r="T2" s="9" t="s">
        <v>5</v>
      </c>
      <c r="U2" s="19">
        <f>IF(S2="M",MD_,IF(S2="s",MD_,0))</f>
        <v>0.0145</v>
      </c>
      <c r="V2" s="7">
        <v>0.042</v>
      </c>
      <c r="W2" s="7">
        <v>0.0145</v>
      </c>
      <c r="X2" s="83">
        <v>0.01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3800</v>
      </c>
      <c r="AK2" s="9" t="s">
        <v>6</v>
      </c>
      <c r="AP2" s="9"/>
    </row>
    <row r="3" spans="1:42" ht="12.75">
      <c r="A3" s="21" t="s">
        <v>167</v>
      </c>
      <c r="B3" s="22">
        <v>5000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863</v>
      </c>
      <c r="T3" s="9" t="s">
        <v>7</v>
      </c>
      <c r="U3" s="20">
        <f>ROUND(Gross_Net*MED_,2)</f>
        <v>72.5</v>
      </c>
      <c r="V3" s="7">
        <v>0</v>
      </c>
      <c r="W3" s="7">
        <v>0</v>
      </c>
      <c r="Z3" s="21">
        <v>0</v>
      </c>
      <c r="AA3" s="174">
        <v>317</v>
      </c>
      <c r="AB3" s="174">
        <v>0.06</v>
      </c>
      <c r="AC3" s="174" t="s">
        <v>208</v>
      </c>
      <c r="AD3" s="9" t="s">
        <v>4</v>
      </c>
      <c r="AF3" s="29" t="s">
        <v>548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606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">
        <f>IF(OR(W24=1,W25=1),VLOOKUP(CAT,Ret_Sp_110210,3),IF(OR(W14=1,W15=1),0.1,IF(OR(W17=1,W18=1,W19=1,W20=1,W21=1,W22=1,W23=1),VLOOKUP(CAT,Ret_Sp_110210,3),VLOOKUP(CAT,RETID_TABLE,3))))</f>
        <v>0.11</v>
      </c>
      <c r="T4" s="9" t="s">
        <v>8</v>
      </c>
      <c r="U4" s="19">
        <f>IF(S2="S",OA_,0)</f>
        <v>0</v>
      </c>
      <c r="V4" s="7" t="s">
        <v>4</v>
      </c>
      <c r="W4" s="7" t="s">
        <v>4</v>
      </c>
      <c r="Z4" s="21">
        <v>1</v>
      </c>
      <c r="AA4" s="174">
        <v>0</v>
      </c>
      <c r="AB4" s="174">
        <v>0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5000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0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74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>
        <v>130</v>
      </c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3D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74">
        <v>0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28.40909</v>
      </c>
      <c r="M7" s="49" t="s">
        <v>187</v>
      </c>
      <c r="N7" s="49">
        <f>N22-S3</f>
        <v>-863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09/01/2010 Retirement Info per Personnel Ltr 10-022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74">
        <v>0</v>
      </c>
      <c r="AC7" s="174" t="s">
        <v>209</v>
      </c>
      <c r="AD7" s="9" t="s">
        <v>4</v>
      </c>
      <c r="AF7" s="20">
        <v>2150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214</v>
      </c>
      <c r="C8" s="21" t="s">
        <v>172</v>
      </c>
      <c r="D8" s="51">
        <v>12</v>
      </c>
      <c r="E8" s="149" t="s">
        <v>361</v>
      </c>
      <c r="F8" s="51">
        <v>11</v>
      </c>
      <c r="H8" s="52"/>
      <c r="J8" s="7" t="s">
        <v>198</v>
      </c>
      <c r="K8" s="48">
        <f>IF(Salary_Per="H",ROUND(Red_Sal_Rate,5),ROUND(Red_Sal_Rate2/K6,5))</f>
        <v>28.40909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1031.12</v>
      </c>
      <c r="U8" s="7">
        <v>513</v>
      </c>
      <c r="V8" s="7">
        <v>0.05</v>
      </c>
      <c r="Y8" s="20"/>
      <c r="Z8" s="21">
        <v>5</v>
      </c>
      <c r="AA8" s="174">
        <v>513</v>
      </c>
      <c r="AB8" s="174">
        <v>0.095</v>
      </c>
      <c r="AC8" s="174" t="s">
        <v>209</v>
      </c>
      <c r="AD8" s="9" t="s">
        <v>4</v>
      </c>
      <c r="AF8" s="20">
        <v>10850</v>
      </c>
      <c r="AG8" s="20">
        <v>0.15</v>
      </c>
      <c r="AH8" s="20">
        <v>870</v>
      </c>
      <c r="AI8" s="20"/>
      <c r="AJ8" s="53">
        <v>12527</v>
      </c>
      <c r="AK8" s="53">
        <v>12527</v>
      </c>
      <c r="AL8" s="53">
        <v>25054</v>
      </c>
      <c r="AM8" s="53">
        <v>25054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-94.93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1540.134428678118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74">
        <v>0</v>
      </c>
      <c r="AC9" s="174" t="s">
        <v>159</v>
      </c>
      <c r="AD9" s="9" t="s">
        <v>4</v>
      </c>
      <c r="AF9" s="20">
        <v>37500</v>
      </c>
      <c r="AG9" s="20">
        <v>0.25</v>
      </c>
      <c r="AH9" s="20">
        <v>4867.5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39447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440.77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54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74">
        <v>0.125</v>
      </c>
      <c r="AC10" s="174" t="s">
        <v>209</v>
      </c>
      <c r="AD10" s="9" t="s">
        <v>4</v>
      </c>
      <c r="AF10" s="20">
        <v>87800</v>
      </c>
      <c r="AG10" s="20">
        <v>0.28</v>
      </c>
      <c r="AH10" s="20">
        <v>17442.5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39447</v>
      </c>
      <c r="E11" s="7" t="s">
        <v>355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383</v>
      </c>
      <c r="P11" s="14">
        <f>ROUND((IDL_2_3/3)*2,2)</f>
        <v>3333.33</v>
      </c>
      <c r="Q11" s="14" t="s">
        <v>316</v>
      </c>
      <c r="R11" s="14" t="s">
        <v>180</v>
      </c>
      <c r="S11" s="14">
        <f>IF(Salary_Per="H",0,ROUNDDOWN(S10/Time_Base_Hrs,0))</f>
        <v>6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74">
        <v>0.05</v>
      </c>
      <c r="AC11" s="174" t="s">
        <v>209</v>
      </c>
      <c r="AD11" s="9" t="s">
        <v>4</v>
      </c>
      <c r="AF11" s="20">
        <v>180800</v>
      </c>
      <c r="AG11" s="61">
        <v>0.33</v>
      </c>
      <c r="AH11" s="20">
        <v>43482.5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09/01/2010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6</v>
      </c>
      <c r="T12" s="19"/>
      <c r="U12" s="7" t="s">
        <v>509</v>
      </c>
      <c r="V12" s="176" t="str">
        <f>IF(AND(D8=12,F8=9),D8&amp;"/01/200"&amp;F8,IF(LEN(D8)=1,"0"&amp;D8&amp;"/01/20"&amp;F8,D8&amp;"/01/20"&amp;F8))</f>
        <v>12/01/2011</v>
      </c>
      <c r="W12" s="177">
        <f>DATEVALUE(V12)</f>
        <v>39416</v>
      </c>
      <c r="X12" s="83">
        <f>LEN(D8)</f>
        <v>2</v>
      </c>
      <c r="Y12" s="20"/>
      <c r="Z12" s="21">
        <v>9</v>
      </c>
      <c r="AA12" s="174">
        <v>513</v>
      </c>
      <c r="AB12" s="174">
        <v>0.095</v>
      </c>
      <c r="AC12" s="174" t="s">
        <v>209</v>
      </c>
      <c r="AD12" s="9" t="s">
        <v>4</v>
      </c>
      <c r="AF12" s="20">
        <v>390500</v>
      </c>
      <c r="AG12" s="61">
        <v>0.35</v>
      </c>
      <c r="AH12" s="20">
        <v>112683.5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1</v>
      </c>
      <c r="E13" s="10" t="s">
        <v>175</v>
      </c>
      <c r="H13" s="26"/>
      <c r="J13" s="9" t="s">
        <v>22</v>
      </c>
      <c r="K13" s="14">
        <f>+S4+V16</f>
        <v>0.11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39447</v>
      </c>
      <c r="Q13" s="14" t="s">
        <v>314</v>
      </c>
      <c r="R13" s="66">
        <f>+P13</f>
        <v>39447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74">
        <v>0.06</v>
      </c>
      <c r="AC13" s="174" t="s">
        <v>208</v>
      </c>
      <c r="AD13" s="9" t="s">
        <v>4</v>
      </c>
      <c r="AF13" s="20"/>
      <c r="AG13" s="20"/>
      <c r="AH13" s="20"/>
      <c r="AI13" s="20"/>
      <c r="AJ13" s="53">
        <v>3769</v>
      </c>
      <c r="AK13" s="53">
        <v>3769</v>
      </c>
      <c r="AL13" s="53">
        <v>7538</v>
      </c>
      <c r="AM13" s="53">
        <v>7538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1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440.77</v>
      </c>
      <c r="L14" s="68"/>
      <c r="M14" s="14">
        <f>FTAX3</f>
        <v>0</v>
      </c>
      <c r="N14" s="14" t="s">
        <v>386</v>
      </c>
      <c r="P14" s="65">
        <f>IF(S18=39082,1,"")</f>
      </c>
      <c r="Q14" s="14" t="s">
        <v>315</v>
      </c>
      <c r="R14" s="66">
        <v>39447</v>
      </c>
      <c r="S14" s="66">
        <v>39447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74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1</v>
      </c>
      <c r="E15" s="149">
        <v>1</v>
      </c>
      <c r="F15" s="51">
        <v>12</v>
      </c>
      <c r="G15" s="9" t="s">
        <v>21</v>
      </c>
      <c r="H15" s="67"/>
      <c r="J15" s="9" t="s">
        <v>28</v>
      </c>
      <c r="K15" s="14">
        <f>ROUND(Salary_Rate+Reg_Days-IDL_Full_Days,2)</f>
        <v>5000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>
        <v>39447</v>
      </c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513</v>
      </c>
      <c r="Y15" s="9"/>
      <c r="Z15" s="21">
        <v>12</v>
      </c>
      <c r="AA15" s="174">
        <v>317</v>
      </c>
      <c r="AB15" s="174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5000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>
        <v>39447</v>
      </c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74">
        <v>0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>
        <v>39447</v>
      </c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74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5000</v>
      </c>
      <c r="L18" s="87"/>
      <c r="M18" s="69" t="s">
        <v>379</v>
      </c>
      <c r="N18" s="83">
        <f>Reg_Net_Grs+IDL_Full+IDL_2_3</f>
        <v>5000</v>
      </c>
      <c r="O18" s="69"/>
      <c r="P18" s="65" t="s">
        <v>391</v>
      </c>
      <c r="Q18" s="69"/>
      <c r="R18" s="69" t="str">
        <f>IF(LEN(Iss_Mon_Yr)=2,R22,R21)</f>
        <v>01/01/2012</v>
      </c>
      <c r="S18" s="69">
        <f>+S14</f>
        <v>39447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543</v>
      </c>
      <c r="Y18" s="83"/>
      <c r="Z18" s="172">
        <v>15</v>
      </c>
      <c r="AA18" s="175">
        <v>238</v>
      </c>
      <c r="AB18" s="175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7316</v>
      </c>
      <c r="AK18" s="83">
        <v>0.022</v>
      </c>
      <c r="AL18" s="69">
        <v>80.48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455.07</v>
      </c>
      <c r="O19" s="86"/>
      <c r="P19" s="158" t="s">
        <v>441</v>
      </c>
      <c r="Q19" s="159">
        <v>38717</v>
      </c>
      <c r="R19" s="69" t="str">
        <f>Pay_Period&amp;"/01/"&amp;F8</f>
        <v>12/01/11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544</v>
      </c>
      <c r="Y19" s="83"/>
      <c r="Z19" s="172">
        <v>16</v>
      </c>
      <c r="AA19" s="175">
        <v>238</v>
      </c>
      <c r="AB19" s="175">
        <v>0.06</v>
      </c>
      <c r="AC19" s="175" t="s">
        <v>208</v>
      </c>
      <c r="AD19" s="9" t="s">
        <v>4</v>
      </c>
      <c r="AE19" s="83"/>
      <c r="AF19" s="83">
        <v>8100</v>
      </c>
      <c r="AG19" s="83">
        <v>0.1</v>
      </c>
      <c r="AH19" s="83">
        <v>0</v>
      </c>
      <c r="AI19" s="83"/>
      <c r="AJ19" s="69">
        <v>17346</v>
      </c>
      <c r="AK19" s="83">
        <v>0.044</v>
      </c>
      <c r="AL19" s="69">
        <v>301.14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5000</v>
      </c>
      <c r="O20" s="86"/>
      <c r="P20" s="158" t="s">
        <v>442</v>
      </c>
      <c r="Q20" s="159">
        <v>38748</v>
      </c>
      <c r="R20" s="69" t="str">
        <f>Iss_Mon_Yr&amp;"/01/"&amp;F15</f>
        <v>1/01/12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75">
        <v>0.06</v>
      </c>
      <c r="AC20" s="175" t="s">
        <v>159</v>
      </c>
      <c r="AD20" s="9" t="s">
        <v>4</v>
      </c>
      <c r="AE20" s="83"/>
      <c r="AF20" s="83">
        <v>25500</v>
      </c>
      <c r="AG20" s="83">
        <v>0.15</v>
      </c>
      <c r="AH20" s="83">
        <v>1740</v>
      </c>
      <c r="AI20" s="83"/>
      <c r="AJ20" s="69">
        <v>27377</v>
      </c>
      <c r="AK20" s="83">
        <v>0.066</v>
      </c>
      <c r="AL20" s="69">
        <v>742.5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604</v>
      </c>
      <c r="K21" s="86"/>
      <c r="L21" s="87"/>
      <c r="M21" s="14" t="s">
        <v>380</v>
      </c>
      <c r="N21" s="83">
        <f>Red_Sal_Rate2-D6</f>
        <v>4870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01/01/2012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74">
        <v>0.06</v>
      </c>
      <c r="AC21" s="174" t="s">
        <v>208</v>
      </c>
      <c r="AD21" s="9" t="s">
        <v>4</v>
      </c>
      <c r="AF21" s="20">
        <v>78800</v>
      </c>
      <c r="AG21" s="20">
        <v>0.25</v>
      </c>
      <c r="AH21" s="20">
        <v>9735</v>
      </c>
      <c r="AI21" s="20"/>
      <c r="AJ21" s="14">
        <v>38004</v>
      </c>
      <c r="AK21" s="171">
        <v>0.088</v>
      </c>
      <c r="AL21" s="14">
        <v>1443.88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0</v>
      </c>
      <c r="O22" s="86"/>
      <c r="P22" s="145" t="s">
        <v>444</v>
      </c>
      <c r="Q22" s="159">
        <v>38807</v>
      </c>
      <c r="R22" s="69" t="str">
        <f>D15&amp;"/01/20"&amp;F15</f>
        <v>1/01/2012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74">
        <v>0.105</v>
      </c>
      <c r="AC22" s="174" t="s">
        <v>159</v>
      </c>
      <c r="AD22" s="9" t="s">
        <v>4</v>
      </c>
      <c r="AF22" s="20">
        <v>150800</v>
      </c>
      <c r="AG22" s="20">
        <v>0.28</v>
      </c>
      <c r="AH22" s="20">
        <v>27735</v>
      </c>
      <c r="AI22" s="20"/>
      <c r="AJ22" s="14">
        <v>48029</v>
      </c>
      <c r="AK22" s="171">
        <v>0.1023</v>
      </c>
      <c r="AL22" s="14">
        <v>2326.08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5000</v>
      </c>
      <c r="C23" s="104">
        <f>Reg_Net_Grs</f>
        <v>0</v>
      </c>
      <c r="D23" s="105">
        <f>IDL_Grs</f>
        <v>0</v>
      </c>
      <c r="E23" s="106"/>
      <c r="F23" s="104">
        <f>IDL_23_Grs</f>
        <v>3333.33</v>
      </c>
      <c r="G23" s="100"/>
      <c r="H23" s="107"/>
      <c r="J23" s="163"/>
      <c r="K23" s="86"/>
      <c r="L23" s="87"/>
      <c r="M23" s="14" t="s">
        <v>382</v>
      </c>
      <c r="N23" s="83">
        <f>Org_Sal_Rate-D6</f>
        <v>4870</v>
      </c>
      <c r="O23" s="86"/>
      <c r="P23" s="145" t="s">
        <v>445</v>
      </c>
      <c r="Q23" s="159">
        <v>38837</v>
      </c>
      <c r="R23" s="69" t="str">
        <f>LEFT(Iss_Mon_Yr,2)</f>
        <v>1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74">
        <v>0.125</v>
      </c>
      <c r="AC23" s="174" t="s">
        <v>209</v>
      </c>
      <c r="AD23" s="9" t="s">
        <v>4</v>
      </c>
      <c r="AF23" s="20">
        <v>225550</v>
      </c>
      <c r="AG23" s="20">
        <v>0.33</v>
      </c>
      <c r="AH23" s="20">
        <v>48665</v>
      </c>
      <c r="AI23" s="20"/>
      <c r="AJ23" s="14">
        <v>1000000</v>
      </c>
      <c r="AK23" s="171">
        <v>0.1133</v>
      </c>
      <c r="AL23" s="14">
        <v>99712.71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440.77</v>
      </c>
      <c r="C24" s="109">
        <f>IF(N39=1,T27,Reg_EPMC)</f>
        <v>0</v>
      </c>
      <c r="D24" s="110">
        <f>M8</f>
        <v>0</v>
      </c>
      <c r="E24" s="110"/>
      <c r="F24" s="109">
        <f>M10</f>
        <v>440.77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1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546</v>
      </c>
      <c r="Y24" s="20"/>
      <c r="Z24" s="21">
        <v>21</v>
      </c>
      <c r="AA24" s="174">
        <v>0</v>
      </c>
      <c r="AB24" s="174">
        <v>0</v>
      </c>
      <c r="AC24" s="174" t="s">
        <v>159</v>
      </c>
      <c r="AD24" s="9" t="s">
        <v>4</v>
      </c>
      <c r="AF24" s="20">
        <v>396450</v>
      </c>
      <c r="AG24" s="61">
        <v>0.35</v>
      </c>
      <c r="AH24" s="20">
        <v>105062</v>
      </c>
      <c r="AI24" s="20"/>
      <c r="AJ24" s="14">
        <v>9999999</v>
      </c>
      <c r="AK24" s="171">
        <v>0.1133</v>
      </c>
      <c r="AL24" s="14">
        <v>99712.71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0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4870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547</v>
      </c>
      <c r="Y25" s="20"/>
      <c r="Z25" s="21">
        <v>22</v>
      </c>
      <c r="AA25" s="174">
        <v>0</v>
      </c>
      <c r="AB25" s="174">
        <v>0</v>
      </c>
      <c r="AC25" s="174" t="s">
        <v>159</v>
      </c>
      <c r="AD25" s="9" t="s">
        <v>4</v>
      </c>
      <c r="AF25" s="20"/>
      <c r="AG25" s="20"/>
      <c r="AH25" s="20"/>
      <c r="AI25" s="20"/>
      <c r="AJ25" s="14">
        <v>9999999</v>
      </c>
      <c r="AK25" s="171">
        <v>0.1133</v>
      </c>
      <c r="AL25" s="14">
        <v>99712.71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72.5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74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9999999</v>
      </c>
      <c r="AK26" s="171">
        <v>0.1133</v>
      </c>
      <c r="AL26" s="14">
        <v>99712.71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462.63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4870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0</v>
      </c>
      <c r="U27" s="75" t="s">
        <v>322</v>
      </c>
      <c r="V27" s="181">
        <v>0</v>
      </c>
      <c r="Z27" s="21">
        <v>24</v>
      </c>
      <c r="AA27" s="174">
        <v>513</v>
      </c>
      <c r="AB27" s="174">
        <v>0</v>
      </c>
      <c r="AC27" s="174" t="s">
        <v>209</v>
      </c>
      <c r="AD27" s="9" t="s">
        <v>4</v>
      </c>
      <c r="AJ27" s="14">
        <v>9999999</v>
      </c>
      <c r="AK27" s="171">
        <v>0.1133</v>
      </c>
      <c r="AL27" s="14">
        <v>99712.71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100.42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0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74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0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74">
        <v>0.1</v>
      </c>
      <c r="AC29" s="174" t="s">
        <v>159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3923.68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2892.56</v>
      </c>
      <c r="G30" s="100"/>
      <c r="H30" s="107"/>
      <c r="J30" s="85"/>
      <c r="K30" s="86"/>
      <c r="L30" s="87"/>
      <c r="M30" s="14" t="s">
        <v>379</v>
      </c>
      <c r="N30" s="14">
        <f>Salary_Rate-D6</f>
        <v>4870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74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28.40909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-94.93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40</v>
      </c>
      <c r="AA31" s="174">
        <v>317</v>
      </c>
      <c r="AB31" s="174">
        <v>0.105</v>
      </c>
      <c r="AC31" s="174" t="s">
        <v>208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1031.12</v>
      </c>
      <c r="C32" s="118" t="s">
        <v>287</v>
      </c>
      <c r="D32" s="119">
        <f>Withhold_Factor</f>
        <v>0.6695</v>
      </c>
      <c r="E32" s="119"/>
      <c r="F32" s="120" t="s">
        <v>288</v>
      </c>
      <c r="G32" s="121">
        <f>ROUND(Supple_Gross_Net/Divided_By,2)</f>
        <v>1540.13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41</v>
      </c>
      <c r="AA32" s="174">
        <v>0</v>
      </c>
      <c r="AB32" s="174">
        <v>0</v>
      </c>
      <c r="AC32" s="174" t="s">
        <v>209</v>
      </c>
      <c r="AD32" s="9" t="s">
        <v>4</v>
      </c>
      <c r="AJ32" s="14">
        <v>14632</v>
      </c>
      <c r="AK32" s="171">
        <v>0.022</v>
      </c>
      <c r="AL32" s="14">
        <v>160.95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1540.134428678118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42</v>
      </c>
      <c r="AA33" s="174">
        <v>317</v>
      </c>
      <c r="AB33" s="174">
        <v>0.06</v>
      </c>
      <c r="AC33" s="174" t="s">
        <v>159</v>
      </c>
      <c r="AD33" s="9" t="s">
        <v>4</v>
      </c>
      <c r="AJ33" s="14">
        <v>34692</v>
      </c>
      <c r="AK33" s="171">
        <v>0.044</v>
      </c>
      <c r="AL33" s="14">
        <v>602.27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54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43</v>
      </c>
      <c r="AA34" s="174">
        <v>513</v>
      </c>
      <c r="AB34" s="174">
        <v>0.05</v>
      </c>
      <c r="AC34" s="174" t="s">
        <v>209</v>
      </c>
      <c r="AD34" s="9" t="s">
        <v>4</v>
      </c>
      <c r="AJ34" s="14">
        <v>54754</v>
      </c>
      <c r="AK34" s="171">
        <v>0.066</v>
      </c>
      <c r="AL34" s="14">
        <v>1485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6</v>
      </c>
      <c r="C35" s="136" t="s">
        <v>291</v>
      </c>
      <c r="D35" s="137">
        <f>S12</f>
        <v>6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863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44</v>
      </c>
      <c r="AA35" s="174">
        <v>0</v>
      </c>
      <c r="AB35" s="174">
        <v>0</v>
      </c>
      <c r="AC35" s="174" t="s">
        <v>209</v>
      </c>
      <c r="AD35" s="9" t="s">
        <v>4</v>
      </c>
      <c r="AJ35" s="14">
        <v>76008</v>
      </c>
      <c r="AK35" s="171">
        <v>0.088</v>
      </c>
      <c r="AL35" s="14">
        <v>2887.76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45</v>
      </c>
      <c r="AA36" s="174">
        <v>513</v>
      </c>
      <c r="AB36" s="174">
        <v>0.05</v>
      </c>
      <c r="AC36" s="174" t="s">
        <v>209</v>
      </c>
      <c r="AD36" s="9" t="s">
        <v>4</v>
      </c>
      <c r="AJ36" s="14">
        <v>96058</v>
      </c>
      <c r="AK36" s="171">
        <v>0.1023</v>
      </c>
      <c r="AL36" s="14">
        <v>4652.16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440.77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46</v>
      </c>
      <c r="AA37" s="174">
        <v>317</v>
      </c>
      <c r="AB37" s="174">
        <v>0.06</v>
      </c>
      <c r="AC37" s="174" t="s">
        <v>208</v>
      </c>
      <c r="AD37" s="9" t="s">
        <v>4</v>
      </c>
      <c r="AJ37" s="14">
        <v>1000000</v>
      </c>
      <c r="AK37" s="171">
        <v>0.1133</v>
      </c>
      <c r="AL37" s="14">
        <v>97125.43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47</v>
      </c>
      <c r="AA38" s="174">
        <v>0</v>
      </c>
      <c r="AB38" s="174">
        <v>0</v>
      </c>
      <c r="AC38" s="174" t="s">
        <v>209</v>
      </c>
      <c r="AD38" s="9" t="s">
        <v>4</v>
      </c>
      <c r="AJ38" s="14">
        <v>9999999</v>
      </c>
      <c r="AK38" s="171">
        <v>0.1133</v>
      </c>
      <c r="AL38" s="14">
        <v>97125.43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48</v>
      </c>
      <c r="AA39" s="174">
        <v>317</v>
      </c>
      <c r="AB39" s="174">
        <v>0.06</v>
      </c>
      <c r="AC39" s="174" t="s">
        <v>159</v>
      </c>
      <c r="AD39" s="9" t="s">
        <v>4</v>
      </c>
      <c r="AJ39" s="14">
        <v>9999999</v>
      </c>
      <c r="AK39" s="171">
        <v>0.1133</v>
      </c>
      <c r="AL39" s="14">
        <v>97125.43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49</v>
      </c>
      <c r="AA40" s="174">
        <v>513</v>
      </c>
      <c r="AB40" s="174">
        <v>0.095</v>
      </c>
      <c r="AC40" s="174" t="s">
        <v>209</v>
      </c>
      <c r="AJ40" s="14">
        <v>9999999</v>
      </c>
      <c r="AK40" s="171">
        <v>0.1133</v>
      </c>
      <c r="AL40" s="14">
        <v>97125.43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50</v>
      </c>
      <c r="AA41" s="174">
        <v>238</v>
      </c>
      <c r="AB41" s="174">
        <v>0.08</v>
      </c>
      <c r="AC41" s="174" t="s">
        <v>159</v>
      </c>
      <c r="AD41" s="9" t="s">
        <v>4</v>
      </c>
      <c r="AJ41" s="14">
        <v>9999999</v>
      </c>
      <c r="AK41" s="171">
        <v>0.1133</v>
      </c>
      <c r="AL41" s="14">
        <v>97125.43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51</v>
      </c>
      <c r="AA42" s="174">
        <v>238</v>
      </c>
      <c r="AB42" s="174">
        <v>0</v>
      </c>
      <c r="AC42" s="174" t="s">
        <v>208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52</v>
      </c>
      <c r="AA43" s="174">
        <v>238</v>
      </c>
      <c r="AB43" s="174">
        <v>0</v>
      </c>
      <c r="AC43" s="174" t="s">
        <v>159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53</v>
      </c>
      <c r="AA44" s="174">
        <v>238</v>
      </c>
      <c r="AB44" s="174">
        <v>0.08</v>
      </c>
      <c r="AC44" s="174" t="s">
        <v>208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54</v>
      </c>
      <c r="AA45" s="174">
        <v>238</v>
      </c>
      <c r="AB45" s="174">
        <v>0.08</v>
      </c>
      <c r="AC45" s="174" t="s">
        <v>159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55</v>
      </c>
      <c r="AA46" s="174">
        <v>863</v>
      </c>
      <c r="AB46" s="174">
        <v>0.08</v>
      </c>
      <c r="AC46" s="174" t="s">
        <v>208</v>
      </c>
      <c r="AD46" s="9" t="s">
        <v>4</v>
      </c>
      <c r="AJ46" s="14">
        <v>14642</v>
      </c>
      <c r="AK46" s="171">
        <v>0.022</v>
      </c>
      <c r="AL46" s="14">
        <v>161.06</v>
      </c>
      <c r="AO46" s="166"/>
      <c r="AP46" s="167"/>
      <c r="AQ46" s="168"/>
      <c r="AR46" s="165"/>
      <c r="AS46" s="165"/>
    </row>
    <row r="47" spans="1:45" ht="15">
      <c r="A47" s="2"/>
      <c r="J47" s="183" t="s">
        <v>453</v>
      </c>
      <c r="K47" s="183"/>
      <c r="L47" s="87"/>
      <c r="M47" s="183"/>
      <c r="N47" s="183"/>
      <c r="O47" s="86"/>
      <c r="R47" s="14" t="s">
        <v>326</v>
      </c>
      <c r="S47" s="14" t="s">
        <v>328</v>
      </c>
      <c r="V47" s="144"/>
      <c r="Z47" s="21">
        <v>56</v>
      </c>
      <c r="AA47" s="174">
        <v>863</v>
      </c>
      <c r="AB47" s="174">
        <v>0.08</v>
      </c>
      <c r="AC47" s="174" t="s">
        <v>159</v>
      </c>
      <c r="AD47" s="9" t="s">
        <v>4</v>
      </c>
      <c r="AJ47" s="14">
        <v>34692</v>
      </c>
      <c r="AK47" s="171">
        <v>0.044</v>
      </c>
      <c r="AL47" s="14">
        <v>602.16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4559.23</v>
      </c>
      <c r="L48" s="69" t="s">
        <v>307</v>
      </c>
      <c r="N48" s="69"/>
      <c r="O48" s="69"/>
      <c r="V48" s="144"/>
      <c r="W48" s="19"/>
      <c r="Z48" s="21">
        <v>57</v>
      </c>
      <c r="AA48" s="174">
        <v>513</v>
      </c>
      <c r="AB48" s="174">
        <v>0.08</v>
      </c>
      <c r="AC48" s="174" t="s">
        <v>208</v>
      </c>
      <c r="AD48" s="9" t="s">
        <v>4</v>
      </c>
      <c r="AJ48" s="14">
        <v>44721</v>
      </c>
      <c r="AK48" s="171">
        <v>0.066</v>
      </c>
      <c r="AL48" s="14">
        <v>1043.44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0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58</v>
      </c>
      <c r="AA49" s="174">
        <v>513</v>
      </c>
      <c r="AB49" s="174">
        <v>0.08</v>
      </c>
      <c r="AC49" s="174" t="s">
        <v>159</v>
      </c>
      <c r="AD49" s="9" t="s">
        <v>4</v>
      </c>
      <c r="AJ49" s="14">
        <v>55348</v>
      </c>
      <c r="AK49" s="171">
        <v>0.088</v>
      </c>
      <c r="AL49" s="14">
        <v>1744.82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2</v>
      </c>
      <c r="T50" s="81">
        <f>IF(S50&gt;0,VLOOKUP(S50,Mand_Hold_Factor,2),VLOOKUP(S51,Mand_Hold_Factor,2))</f>
        <v>0.6695</v>
      </c>
      <c r="V50" s="144"/>
      <c r="W50" s="19"/>
      <c r="Z50" s="21">
        <v>61</v>
      </c>
      <c r="AA50" s="174">
        <v>863</v>
      </c>
      <c r="AB50" s="174">
        <v>0.08</v>
      </c>
      <c r="AC50" s="174" t="s">
        <v>159</v>
      </c>
      <c r="AD50" s="9" t="s">
        <v>4</v>
      </c>
      <c r="AJ50" s="14">
        <v>65376</v>
      </c>
      <c r="AK50" s="171">
        <v>0.1023</v>
      </c>
      <c r="AL50" s="14">
        <v>2627.28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5000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62</v>
      </c>
      <c r="AA51" s="174">
        <v>863</v>
      </c>
      <c r="AB51" s="174">
        <v>0.08</v>
      </c>
      <c r="AC51" s="174" t="s">
        <v>208</v>
      </c>
      <c r="AD51" s="9" t="s">
        <v>4</v>
      </c>
      <c r="AJ51" s="14">
        <v>1000000</v>
      </c>
      <c r="AK51" s="171">
        <v>0.1133</v>
      </c>
      <c r="AL51" s="14">
        <v>98239.32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5000</v>
      </c>
      <c r="L52" s="14" t="s">
        <v>310</v>
      </c>
      <c r="R52" s="14" t="s">
        <v>277</v>
      </c>
      <c r="S52" s="14">
        <v>1</v>
      </c>
      <c r="T52" s="19">
        <v>0.6275</v>
      </c>
      <c r="U52" s="7" t="s">
        <v>296</v>
      </c>
      <c r="V52" s="144"/>
      <c r="Z52" s="21">
        <v>63</v>
      </c>
      <c r="AA52" s="174">
        <v>238</v>
      </c>
      <c r="AB52" s="174">
        <v>0.08</v>
      </c>
      <c r="AC52" s="174" t="s">
        <v>159</v>
      </c>
      <c r="AD52" s="9" t="s">
        <v>4</v>
      </c>
      <c r="AJ52" s="14">
        <v>9999999</v>
      </c>
      <c r="AK52" s="171">
        <v>0.1133</v>
      </c>
      <c r="AL52" s="14">
        <v>98239.32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5000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64</v>
      </c>
      <c r="AA53" s="174">
        <v>238</v>
      </c>
      <c r="AB53" s="174">
        <v>0.08</v>
      </c>
      <c r="AC53" s="174" t="s">
        <v>208</v>
      </c>
      <c r="AD53" s="9" t="s">
        <v>4</v>
      </c>
      <c r="AJ53" s="14">
        <v>9999999</v>
      </c>
      <c r="AK53" s="171">
        <v>0.1133</v>
      </c>
      <c r="AL53" s="14">
        <v>98239.32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66</v>
      </c>
      <c r="AA54" s="174">
        <v>863</v>
      </c>
      <c r="AB54" s="174">
        <v>0.08</v>
      </c>
      <c r="AC54" s="174" t="s">
        <v>208</v>
      </c>
      <c r="AD54" s="9" t="s">
        <v>4</v>
      </c>
      <c r="AJ54" s="14">
        <v>9999999</v>
      </c>
      <c r="AK54" s="171">
        <v>0.1133</v>
      </c>
      <c r="AL54" s="14">
        <v>98239.32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0.9435</v>
      </c>
      <c r="U55" s="7" t="s">
        <v>297</v>
      </c>
      <c r="Z55" s="21">
        <v>67</v>
      </c>
      <c r="AA55" s="174">
        <v>317</v>
      </c>
      <c r="AB55" s="174">
        <v>0</v>
      </c>
      <c r="AC55" s="174" t="s">
        <v>159</v>
      </c>
      <c r="AD55" s="9" t="s">
        <v>4</v>
      </c>
      <c r="AJ55" s="14">
        <v>9999999</v>
      </c>
      <c r="AK55" s="171">
        <v>0.1133</v>
      </c>
      <c r="AL55" s="14">
        <v>98239.32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68</v>
      </c>
      <c r="AA56" s="174">
        <v>317</v>
      </c>
      <c r="AB56" s="174">
        <v>0</v>
      </c>
      <c r="AC56" s="174" t="s">
        <v>208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3800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83</v>
      </c>
      <c r="AA57" s="174">
        <v>863</v>
      </c>
      <c r="AB57" s="174">
        <v>0.08</v>
      </c>
      <c r="AC57" s="174" t="s">
        <v>159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0.6935</v>
      </c>
      <c r="U58" s="7" t="s">
        <v>298</v>
      </c>
      <c r="Z58" s="21">
        <v>91</v>
      </c>
      <c r="AA58" s="174">
        <v>0</v>
      </c>
      <c r="AB58" s="174">
        <v>0</v>
      </c>
      <c r="AC58" s="174" t="s">
        <v>208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54710.759999999995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92</v>
      </c>
      <c r="AA59" s="174">
        <v>0</v>
      </c>
      <c r="AB59" s="174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0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93</v>
      </c>
      <c r="AA60" s="174">
        <v>317</v>
      </c>
      <c r="AB60" s="174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112.2</v>
      </c>
      <c r="AM60" s="7">
        <v>224.4</v>
      </c>
      <c r="AN60" s="7">
        <v>112.2</v>
      </c>
      <c r="AO60" s="164"/>
      <c r="AP60" s="165"/>
      <c r="AQ60" s="165"/>
      <c r="AR60" s="165"/>
      <c r="AS60" s="165">
        <v>112.2</v>
      </c>
    </row>
    <row r="61" spans="1:45" ht="15">
      <c r="A61" s="5" t="s">
        <v>377</v>
      </c>
      <c r="J61" s="94" t="s">
        <v>47</v>
      </c>
      <c r="K61" s="14">
        <f>(PAYFACT*TG3)</f>
        <v>0</v>
      </c>
      <c r="L61" s="20"/>
      <c r="M61" s="93"/>
      <c r="R61" s="14" t="s">
        <v>277</v>
      </c>
      <c r="S61" s="14">
        <v>10</v>
      </c>
      <c r="T61" s="19">
        <v>0.8775</v>
      </c>
      <c r="U61" s="7" t="s">
        <v>299</v>
      </c>
      <c r="Z61" s="21">
        <v>94</v>
      </c>
      <c r="AA61" s="174">
        <v>513</v>
      </c>
      <c r="AB61" s="174">
        <v>0.05</v>
      </c>
      <c r="AC61" s="174" t="s">
        <v>209</v>
      </c>
      <c r="AJ61" s="9" t="s">
        <v>86</v>
      </c>
      <c r="AK61" s="7">
        <v>0</v>
      </c>
      <c r="AL61" s="7">
        <v>112.2</v>
      </c>
      <c r="AM61" s="7">
        <v>224.4</v>
      </c>
      <c r="AN61" s="7">
        <v>112.2</v>
      </c>
      <c r="AO61" s="164"/>
      <c r="AP61" s="165"/>
      <c r="AQ61" s="165"/>
      <c r="AR61" s="165"/>
      <c r="AS61" s="165">
        <v>112.2</v>
      </c>
    </row>
    <row r="62" spans="1:30" ht="15">
      <c r="A62" s="5" t="s">
        <v>367</v>
      </c>
      <c r="J62" s="94" t="s">
        <v>48</v>
      </c>
      <c r="K62" s="14">
        <f>(PAYFACT*TG4)</f>
        <v>60000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95</v>
      </c>
      <c r="AA62" s="174">
        <v>0</v>
      </c>
      <c r="AB62" s="174">
        <v>0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60000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96</v>
      </c>
      <c r="AA63" s="174">
        <v>0</v>
      </c>
      <c r="AB63" s="174">
        <v>0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60000</v>
      </c>
      <c r="L64" s="20"/>
      <c r="M64" s="93"/>
      <c r="Z64" s="21">
        <v>97</v>
      </c>
      <c r="AA64" s="174">
        <v>317</v>
      </c>
      <c r="AB64" s="174">
        <v>0</v>
      </c>
      <c r="AC64" s="174" t="s">
        <v>159</v>
      </c>
      <c r="AD64" s="9" t="s">
        <v>4</v>
      </c>
    </row>
    <row r="65" spans="1:30" ht="15">
      <c r="A65" s="5"/>
      <c r="C65" s="9"/>
      <c r="J65" s="15"/>
      <c r="Z65" s="21">
        <v>98</v>
      </c>
      <c r="AA65" s="174">
        <v>0</v>
      </c>
      <c r="AB65" s="174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99</v>
      </c>
      <c r="AA66" s="174">
        <v>513</v>
      </c>
      <c r="AB66" s="174">
        <v>0</v>
      </c>
      <c r="AC66" s="174" t="s">
        <v>209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50910.76</v>
      </c>
      <c r="L67" s="20"/>
      <c r="M67" s="93"/>
      <c r="T67" s="20"/>
      <c r="Z67" s="21" t="s">
        <v>210</v>
      </c>
      <c r="AA67" s="174">
        <v>317</v>
      </c>
      <c r="AB67" s="174">
        <v>0.07</v>
      </c>
      <c r="AC67" s="174" t="s">
        <v>208</v>
      </c>
      <c r="AD67" s="179" t="s">
        <v>553</v>
      </c>
    </row>
    <row r="68" spans="1:30" ht="15">
      <c r="A68" s="152" t="s">
        <v>414</v>
      </c>
      <c r="J68" s="94" t="s">
        <v>55</v>
      </c>
      <c r="K68" s="147">
        <f>(K60-FEDEXM)</f>
        <v>-3800</v>
      </c>
      <c r="L68" s="20"/>
      <c r="M68" s="93"/>
      <c r="Z68" s="21" t="s">
        <v>477</v>
      </c>
      <c r="AA68" s="174">
        <v>317</v>
      </c>
      <c r="AB68" s="174">
        <v>0.11</v>
      </c>
      <c r="AC68" s="174" t="s">
        <v>208</v>
      </c>
      <c r="AD68" s="179" t="s">
        <v>553</v>
      </c>
    </row>
    <row r="69" spans="1:30" ht="15">
      <c r="A69" s="2" t="s">
        <v>415</v>
      </c>
      <c r="J69" s="94" t="s">
        <v>56</v>
      </c>
      <c r="K69" s="14">
        <f>(K61-FEDEXM)</f>
        <v>-3800</v>
      </c>
      <c r="L69" s="20"/>
      <c r="M69" s="93"/>
      <c r="Z69" s="21" t="s">
        <v>478</v>
      </c>
      <c r="AA69" s="174">
        <v>317</v>
      </c>
      <c r="AB69" s="174">
        <v>0.11</v>
      </c>
      <c r="AC69" s="174" t="s">
        <v>159</v>
      </c>
      <c r="AD69" s="179" t="s">
        <v>553</v>
      </c>
    </row>
    <row r="70" spans="1:30" ht="15">
      <c r="A70" s="2"/>
      <c r="J70" s="94" t="s">
        <v>57</v>
      </c>
      <c r="K70" s="14">
        <f>(K62-FEDEXM)</f>
        <v>56200</v>
      </c>
      <c r="L70" s="20"/>
      <c r="M70" s="93"/>
      <c r="T70" s="20"/>
      <c r="Z70" s="21" t="s">
        <v>479</v>
      </c>
      <c r="AA70" s="174">
        <v>317</v>
      </c>
      <c r="AB70" s="174">
        <v>0.11</v>
      </c>
      <c r="AC70" s="174" t="s">
        <v>159</v>
      </c>
      <c r="AD70" s="179" t="s">
        <v>553</v>
      </c>
    </row>
    <row r="71" spans="1:30" ht="15">
      <c r="A71" s="150" t="s">
        <v>378</v>
      </c>
      <c r="J71" s="94" t="s">
        <v>58</v>
      </c>
      <c r="K71" s="14">
        <f>(K63-FEDEXM)</f>
        <v>56200</v>
      </c>
      <c r="L71" s="20"/>
      <c r="M71" s="93"/>
      <c r="T71" s="20"/>
      <c r="Z71" s="21" t="s">
        <v>480</v>
      </c>
      <c r="AA71" s="174">
        <v>317</v>
      </c>
      <c r="AB71" s="174">
        <v>0.11</v>
      </c>
      <c r="AC71" s="174" t="s">
        <v>208</v>
      </c>
      <c r="AD71" s="179" t="s">
        <v>553</v>
      </c>
    </row>
    <row r="72" spans="1:30" ht="15">
      <c r="A72" s="2" t="s">
        <v>416</v>
      </c>
      <c r="J72" s="94" t="s">
        <v>59</v>
      </c>
      <c r="K72" s="14">
        <f>(K64-FEDEXM)</f>
        <v>56200</v>
      </c>
      <c r="L72" s="20"/>
      <c r="M72" s="93"/>
      <c r="T72" s="20"/>
      <c r="Z72" s="21" t="s">
        <v>481</v>
      </c>
      <c r="AA72" s="174">
        <v>317</v>
      </c>
      <c r="AB72" s="174">
        <v>0.11</v>
      </c>
      <c r="AC72" s="174" t="s">
        <v>159</v>
      </c>
      <c r="AD72" s="179" t="s">
        <v>553</v>
      </c>
    </row>
    <row r="73" spans="1:30" ht="15">
      <c r="A73" s="2" t="s">
        <v>417</v>
      </c>
      <c r="J73" s="15"/>
      <c r="T73" s="20"/>
      <c r="Z73" s="21" t="s">
        <v>482</v>
      </c>
      <c r="AA73" s="174">
        <v>317</v>
      </c>
      <c r="AB73" s="174">
        <v>0.11</v>
      </c>
      <c r="AC73" s="174" t="s">
        <v>208</v>
      </c>
      <c r="AD73" s="179" t="s">
        <v>584</v>
      </c>
    </row>
    <row r="74" spans="1:30" ht="15">
      <c r="A74" s="2"/>
      <c r="J74" s="94" t="s">
        <v>60</v>
      </c>
      <c r="M74" s="93"/>
      <c r="T74" s="20"/>
      <c r="Z74" s="21" t="s">
        <v>523</v>
      </c>
      <c r="AA74" s="174">
        <v>317</v>
      </c>
      <c r="AB74" s="174">
        <v>0.09</v>
      </c>
      <c r="AC74" s="174" t="s">
        <v>208</v>
      </c>
      <c r="AD74" s="179" t="s">
        <v>584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25500</v>
      </c>
      <c r="L75" s="20"/>
      <c r="M75" s="93"/>
      <c r="T75" s="20"/>
      <c r="Z75" s="21" t="s">
        <v>524</v>
      </c>
      <c r="AA75" s="174">
        <v>317</v>
      </c>
      <c r="AB75" s="174">
        <v>0.09</v>
      </c>
      <c r="AC75" s="174" t="s">
        <v>159</v>
      </c>
      <c r="AD75" s="179" t="s">
        <v>553</v>
      </c>
    </row>
    <row r="76" spans="1:30" ht="15">
      <c r="A76" s="2" t="s">
        <v>545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483</v>
      </c>
      <c r="AA76" s="174">
        <v>317</v>
      </c>
      <c r="AB76" s="174">
        <v>0.11</v>
      </c>
      <c r="AC76" s="174" t="s">
        <v>159</v>
      </c>
      <c r="AD76" s="179" t="s">
        <v>553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484</v>
      </c>
      <c r="AA77" s="174">
        <v>317</v>
      </c>
      <c r="AB77" s="174">
        <v>0.11</v>
      </c>
      <c r="AC77" s="174" t="s">
        <v>208</v>
      </c>
      <c r="AD77" s="179" t="s">
        <v>584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25500</v>
      </c>
      <c r="L78" s="20"/>
      <c r="M78" s="93"/>
      <c r="T78" s="20"/>
      <c r="Z78" s="21" t="s">
        <v>525</v>
      </c>
      <c r="AA78" s="174">
        <v>317</v>
      </c>
      <c r="AB78" s="174">
        <v>0.09</v>
      </c>
      <c r="AC78" s="174" t="s">
        <v>159</v>
      </c>
      <c r="AD78" s="85" t="s">
        <v>567</v>
      </c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25500</v>
      </c>
      <c r="L79" s="20"/>
      <c r="M79" s="93"/>
      <c r="T79" s="20"/>
      <c r="Z79" s="172" t="s">
        <v>575</v>
      </c>
      <c r="AA79" s="175">
        <v>317</v>
      </c>
      <c r="AB79" s="175">
        <v>0.105</v>
      </c>
      <c r="AC79" s="175" t="s">
        <v>208</v>
      </c>
      <c r="AD79" s="179" t="s">
        <v>584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25500</v>
      </c>
      <c r="L80" s="20"/>
      <c r="M80" s="93"/>
      <c r="T80" s="20"/>
      <c r="Z80" s="21" t="s">
        <v>526</v>
      </c>
      <c r="AA80" s="174">
        <v>317</v>
      </c>
      <c r="AB80" s="174">
        <v>0.09</v>
      </c>
      <c r="AC80" s="174" t="s">
        <v>208</v>
      </c>
      <c r="AD80" s="179" t="s">
        <v>584</v>
      </c>
    </row>
    <row r="81" spans="1:30" ht="15">
      <c r="A81" s="4"/>
      <c r="J81" s="15"/>
      <c r="T81" s="20"/>
      <c r="Z81" s="21" t="s">
        <v>527</v>
      </c>
      <c r="AA81" s="174">
        <v>317</v>
      </c>
      <c r="AB81" s="174">
        <v>0.09</v>
      </c>
      <c r="AC81" s="174" t="s">
        <v>159</v>
      </c>
      <c r="AD81" s="179" t="s">
        <v>584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528</v>
      </c>
      <c r="AA82" s="174">
        <v>317</v>
      </c>
      <c r="AB82" s="174">
        <v>0.09</v>
      </c>
      <c r="AC82" s="174" t="s">
        <v>208</v>
      </c>
      <c r="AD82" s="85" t="s">
        <v>551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0.15</v>
      </c>
      <c r="L83" s="20"/>
      <c r="M83" s="93"/>
      <c r="T83" s="20"/>
      <c r="Z83" s="172" t="s">
        <v>558</v>
      </c>
      <c r="AA83" s="175">
        <v>317</v>
      </c>
      <c r="AB83" s="175">
        <v>0.09</v>
      </c>
      <c r="AC83" s="175" t="s">
        <v>159</v>
      </c>
      <c r="AD83" s="85" t="s">
        <v>551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172" t="s">
        <v>559</v>
      </c>
      <c r="AA84" s="175">
        <v>317</v>
      </c>
      <c r="AB84" s="175">
        <v>0.09</v>
      </c>
      <c r="AC84" s="175" t="s">
        <v>208</v>
      </c>
      <c r="AD84" s="85" t="s">
        <v>567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574</v>
      </c>
      <c r="AA85" s="175">
        <v>317</v>
      </c>
      <c r="AB85" s="175">
        <v>0.105</v>
      </c>
      <c r="AC85" s="175" t="s">
        <v>159</v>
      </c>
      <c r="AD85" s="85"/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172" t="s">
        <v>598</v>
      </c>
      <c r="AA86" s="175">
        <v>317</v>
      </c>
      <c r="AB86" s="175">
        <v>0.135</v>
      </c>
      <c r="AC86" s="175" t="s">
        <v>208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172" t="s">
        <v>599</v>
      </c>
      <c r="AA87" s="175">
        <v>317</v>
      </c>
      <c r="AB87" s="175">
        <v>0.135</v>
      </c>
      <c r="AC87" s="175" t="s">
        <v>159</v>
      </c>
      <c r="AD87" s="179" t="s">
        <v>553</v>
      </c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21" t="s">
        <v>485</v>
      </c>
      <c r="AA88" s="174">
        <v>317</v>
      </c>
      <c r="AB88" s="174">
        <v>0.11</v>
      </c>
      <c r="AC88" s="174" t="s">
        <v>208</v>
      </c>
      <c r="AD88" s="179" t="s">
        <v>553</v>
      </c>
    </row>
    <row r="89" spans="1:30" ht="15">
      <c r="A89" s="2"/>
      <c r="J89" s="15"/>
      <c r="T89" s="20"/>
      <c r="Z89" s="21" t="s">
        <v>486</v>
      </c>
      <c r="AA89" s="174">
        <v>317</v>
      </c>
      <c r="AB89" s="174">
        <v>0.11</v>
      </c>
      <c r="AC89" s="174" t="s">
        <v>159</v>
      </c>
      <c r="AD89" s="179" t="s">
        <v>553</v>
      </c>
    </row>
    <row r="90" spans="1:30" ht="15">
      <c r="A90" s="150" t="s">
        <v>607</v>
      </c>
      <c r="J90" s="94" t="s">
        <v>73</v>
      </c>
      <c r="M90" s="93"/>
      <c r="T90" s="20"/>
      <c r="Z90" s="21" t="s">
        <v>487</v>
      </c>
      <c r="AA90" s="174">
        <v>513</v>
      </c>
      <c r="AB90" s="174">
        <v>0.1</v>
      </c>
      <c r="AC90" s="174" t="s">
        <v>209</v>
      </c>
      <c r="AD90" s="179" t="s">
        <v>553</v>
      </c>
    </row>
    <row r="91" spans="1:30" ht="15">
      <c r="A91" s="2" t="s">
        <v>621</v>
      </c>
      <c r="J91" s="94" t="s">
        <v>74</v>
      </c>
      <c r="K91" s="14">
        <f>IF(OR(FEDM="S",FEDM="H"),VLOOKUP(FTG1,FTXTBLSH1,3),IF(FEDM="M",VLOOKUP(FTG1,FTXTBLM1,3),0))</f>
        <v>1740</v>
      </c>
      <c r="L91" s="20"/>
      <c r="M91" s="93"/>
      <c r="T91" s="20"/>
      <c r="Z91" s="21" t="s">
        <v>488</v>
      </c>
      <c r="AA91" s="174">
        <v>513</v>
      </c>
      <c r="AB91" s="174">
        <v>0.1</v>
      </c>
      <c r="AC91" s="174" t="s">
        <v>209</v>
      </c>
      <c r="AD91" s="179" t="s">
        <v>553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489</v>
      </c>
      <c r="AA92" s="174">
        <v>513</v>
      </c>
      <c r="AB92" s="174">
        <v>0.1</v>
      </c>
      <c r="AC92" s="174" t="s">
        <v>209</v>
      </c>
      <c r="AD92" s="179" t="s">
        <v>553</v>
      </c>
    </row>
    <row r="93" spans="1:30" ht="15">
      <c r="A93" s="150" t="s">
        <v>608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490</v>
      </c>
      <c r="AA93" s="174">
        <v>513</v>
      </c>
      <c r="AB93" s="174">
        <v>0.1</v>
      </c>
      <c r="AC93" s="174" t="s">
        <v>209</v>
      </c>
      <c r="AD93" s="179" t="s">
        <v>553</v>
      </c>
    </row>
    <row r="94" spans="1:30" ht="15">
      <c r="A94" s="2" t="s">
        <v>609</v>
      </c>
      <c r="J94" s="94" t="s">
        <v>77</v>
      </c>
      <c r="K94" s="14">
        <f>IF(OR(FEDM="S",FEDM="H"),VLOOKUP(K70,FTXTBLSH1,3),IF(FEDM="M",VLOOKUP(K70,FTXTBLM1,3),0))</f>
        <v>1740</v>
      </c>
      <c r="L94" s="20"/>
      <c r="M94" s="93"/>
      <c r="T94" s="20"/>
      <c r="Z94" s="21" t="s">
        <v>491</v>
      </c>
      <c r="AA94" s="174">
        <v>513</v>
      </c>
      <c r="AB94" s="174">
        <v>0.1</v>
      </c>
      <c r="AC94" s="174" t="s">
        <v>209</v>
      </c>
      <c r="AD94" s="179" t="s">
        <v>553</v>
      </c>
    </row>
    <row r="95" spans="1:30" ht="15">
      <c r="A95" s="2" t="s">
        <v>610</v>
      </c>
      <c r="J95" s="94" t="s">
        <v>79</v>
      </c>
      <c r="K95" s="14">
        <f>IF(OR(FEDM="S",FEDM="H"),VLOOKUP(K71,FTXTBLSH1,3),IF(FEDM="M",VLOOKUP(K71,FTXTBLM1,3),0))</f>
        <v>1740</v>
      </c>
      <c r="L95" s="20"/>
      <c r="M95" s="93"/>
      <c r="T95" s="20"/>
      <c r="Z95" s="21" t="s">
        <v>492</v>
      </c>
      <c r="AA95" s="174">
        <v>513</v>
      </c>
      <c r="AB95" s="174">
        <v>0.1</v>
      </c>
      <c r="AC95" s="174" t="s">
        <v>209</v>
      </c>
      <c r="AD95" s="179" t="s">
        <v>589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1740</v>
      </c>
      <c r="L96" s="20"/>
      <c r="M96" s="93"/>
      <c r="T96" s="20"/>
      <c r="Z96" s="21" t="s">
        <v>588</v>
      </c>
      <c r="AA96" s="174">
        <v>513</v>
      </c>
      <c r="AB96" s="174">
        <v>0.095</v>
      </c>
      <c r="AC96" s="174" t="s">
        <v>209</v>
      </c>
      <c r="AD96" s="179" t="s">
        <v>553</v>
      </c>
    </row>
    <row r="97" spans="1:30" ht="15">
      <c r="A97" s="150" t="s">
        <v>611</v>
      </c>
      <c r="J97" s="15"/>
      <c r="T97" s="20"/>
      <c r="Z97" s="21" t="s">
        <v>493</v>
      </c>
      <c r="AA97" s="174">
        <v>513</v>
      </c>
      <c r="AB97" s="174">
        <v>0.1</v>
      </c>
      <c r="AC97" s="174" t="s">
        <v>209</v>
      </c>
      <c r="AD97" s="179" t="s">
        <v>553</v>
      </c>
    </row>
    <row r="98" spans="1:30" ht="15">
      <c r="A98" s="2" t="s">
        <v>612</v>
      </c>
      <c r="J98" s="94" t="s">
        <v>85</v>
      </c>
      <c r="M98" s="93"/>
      <c r="T98" s="20"/>
      <c r="Z98" s="21" t="s">
        <v>519</v>
      </c>
      <c r="AA98" s="174">
        <v>317</v>
      </c>
      <c r="AB98" s="174">
        <v>0.09</v>
      </c>
      <c r="AC98" s="174" t="s">
        <v>208</v>
      </c>
      <c r="AD98" s="179" t="s">
        <v>553</v>
      </c>
    </row>
    <row r="99" spans="1:30" ht="15">
      <c r="A99" s="2" t="s">
        <v>613</v>
      </c>
      <c r="J99" s="94" t="s">
        <v>87</v>
      </c>
      <c r="K99" s="14">
        <f>ROUND(FTG1-FBSA1,2)</f>
        <v>25410.76</v>
      </c>
      <c r="L99" s="20"/>
      <c r="M99" s="93"/>
      <c r="T99" s="20"/>
      <c r="Z99" s="21" t="s">
        <v>494</v>
      </c>
      <c r="AA99" s="174">
        <v>513</v>
      </c>
      <c r="AB99" s="174">
        <v>0.1</v>
      </c>
      <c r="AC99" s="174" t="s">
        <v>209</v>
      </c>
      <c r="AD99" s="179" t="s">
        <v>584</v>
      </c>
    </row>
    <row r="100" spans="1:30" ht="15">
      <c r="A100" s="150"/>
      <c r="J100" s="94" t="s">
        <v>88</v>
      </c>
      <c r="K100" s="147">
        <f>ROUND(K68-K76,2)</f>
        <v>996199</v>
      </c>
      <c r="L100" s="20"/>
      <c r="M100" s="93"/>
      <c r="Z100" s="21" t="s">
        <v>521</v>
      </c>
      <c r="AA100" s="174">
        <v>513</v>
      </c>
      <c r="AB100" s="174">
        <v>0.08</v>
      </c>
      <c r="AC100" s="174" t="s">
        <v>209</v>
      </c>
      <c r="AD100" s="9" t="s">
        <v>4</v>
      </c>
    </row>
    <row r="101" spans="1:30" ht="15">
      <c r="A101" s="150" t="s">
        <v>614</v>
      </c>
      <c r="J101" s="94" t="s">
        <v>89</v>
      </c>
      <c r="K101" s="14">
        <f>(K69-K77)</f>
        <v>996199</v>
      </c>
      <c r="L101" s="20"/>
      <c r="M101" s="93"/>
      <c r="Z101" s="21" t="s">
        <v>495</v>
      </c>
      <c r="AA101" s="174">
        <v>513</v>
      </c>
      <c r="AB101" s="174">
        <v>0.1</v>
      </c>
      <c r="AC101" s="174" t="s">
        <v>209</v>
      </c>
      <c r="AD101" s="85" t="s">
        <v>567</v>
      </c>
    </row>
    <row r="102" spans="1:30" ht="15">
      <c r="A102" s="2" t="s">
        <v>615</v>
      </c>
      <c r="J102" s="94" t="s">
        <v>90</v>
      </c>
      <c r="K102" s="14">
        <f>(K70-K78)</f>
        <v>30700</v>
      </c>
      <c r="L102" s="20"/>
      <c r="M102" s="93"/>
      <c r="T102" s="20"/>
      <c r="Z102" s="172" t="s">
        <v>566</v>
      </c>
      <c r="AA102" s="175">
        <v>317</v>
      </c>
      <c r="AB102" s="175">
        <v>0.105</v>
      </c>
      <c r="AC102" s="175" t="s">
        <v>208</v>
      </c>
      <c r="AD102" s="179" t="s">
        <v>584</v>
      </c>
    </row>
    <row r="103" spans="1:30" ht="15">
      <c r="A103" s="2" t="s">
        <v>616</v>
      </c>
      <c r="J103" s="94" t="s">
        <v>91</v>
      </c>
      <c r="K103" s="14">
        <f>(K71-K79)</f>
        <v>30700</v>
      </c>
      <c r="L103" s="20"/>
      <c r="M103" s="93"/>
      <c r="T103" s="20"/>
      <c r="Z103" s="21" t="s">
        <v>522</v>
      </c>
      <c r="AA103" s="174">
        <v>513</v>
      </c>
      <c r="AB103" s="174">
        <v>0.08</v>
      </c>
      <c r="AC103" s="174" t="s">
        <v>209</v>
      </c>
      <c r="AD103" s="179" t="s">
        <v>551</v>
      </c>
    </row>
    <row r="104" spans="1:30" ht="15">
      <c r="A104" s="2"/>
      <c r="J104" s="94" t="s">
        <v>92</v>
      </c>
      <c r="K104" s="14">
        <f>(K72-K80)</f>
        <v>30700</v>
      </c>
      <c r="L104" s="20"/>
      <c r="M104" s="93"/>
      <c r="T104" s="20"/>
      <c r="Z104" s="21" t="s">
        <v>549</v>
      </c>
      <c r="AA104" s="174">
        <v>317</v>
      </c>
      <c r="AB104" s="174">
        <v>0.09</v>
      </c>
      <c r="AC104" s="174" t="s">
        <v>208</v>
      </c>
      <c r="AD104" s="179" t="s">
        <v>551</v>
      </c>
    </row>
    <row r="105" spans="1:30" ht="15">
      <c r="A105" s="150" t="s">
        <v>617</v>
      </c>
      <c r="J105" s="15"/>
      <c r="T105" s="20"/>
      <c r="Z105" s="21" t="s">
        <v>550</v>
      </c>
      <c r="AA105" s="174">
        <v>317</v>
      </c>
      <c r="AB105" s="174">
        <v>0.09</v>
      </c>
      <c r="AC105" s="174" t="s">
        <v>159</v>
      </c>
      <c r="AD105" s="179" t="s">
        <v>584</v>
      </c>
    </row>
    <row r="106" spans="1:30" ht="15">
      <c r="A106" s="4" t="s">
        <v>618</v>
      </c>
      <c r="J106" s="94" t="s">
        <v>93</v>
      </c>
      <c r="M106" s="93"/>
      <c r="T106" s="20"/>
      <c r="Z106" s="21" t="s">
        <v>520</v>
      </c>
      <c r="AA106" s="174">
        <v>317</v>
      </c>
      <c r="AB106" s="174">
        <v>0.09</v>
      </c>
      <c r="AC106" s="174" t="s">
        <v>159</v>
      </c>
      <c r="AD106" s="85" t="s">
        <v>567</v>
      </c>
    </row>
    <row r="107" spans="1:30" ht="15">
      <c r="A107" s="4" t="s">
        <v>619</v>
      </c>
      <c r="J107" s="94" t="s">
        <v>94</v>
      </c>
      <c r="K107" s="48">
        <f>(FBST1+ROUND(FOVR1*FMTR1,5))</f>
        <v>5551.614</v>
      </c>
      <c r="L107" s="20"/>
      <c r="M107" s="93"/>
      <c r="T107" s="20"/>
      <c r="Z107" s="172" t="s">
        <v>568</v>
      </c>
      <c r="AA107" s="175">
        <v>513</v>
      </c>
      <c r="AB107" s="175">
        <v>0.09</v>
      </c>
      <c r="AC107" s="175" t="s">
        <v>209</v>
      </c>
      <c r="AD107" s="85" t="s">
        <v>567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172" t="s">
        <v>569</v>
      </c>
      <c r="AA108" s="175">
        <v>513</v>
      </c>
      <c r="AB108" s="175">
        <v>0.05</v>
      </c>
      <c r="AC108" s="175" t="s">
        <v>209</v>
      </c>
      <c r="AD108" s="85" t="s">
        <v>551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172" t="s">
        <v>554</v>
      </c>
      <c r="AA109" s="175">
        <v>513</v>
      </c>
      <c r="AB109" s="175">
        <v>0.08</v>
      </c>
      <c r="AC109" s="175" t="s">
        <v>209</v>
      </c>
      <c r="AD109" s="9" t="s">
        <v>4</v>
      </c>
    </row>
    <row r="110" spans="1:30" ht="15">
      <c r="A110" s="2" t="s">
        <v>429</v>
      </c>
      <c r="J110" s="94" t="s">
        <v>97</v>
      </c>
      <c r="K110" s="48">
        <f>(K94+ROUND(K102*FMTR4,5))</f>
        <v>6345</v>
      </c>
      <c r="L110" s="20"/>
      <c r="M110" s="93"/>
      <c r="T110" s="20"/>
      <c r="Z110" s="21" t="s">
        <v>211</v>
      </c>
      <c r="AA110" s="174">
        <v>238</v>
      </c>
      <c r="AB110" s="174">
        <v>0.06</v>
      </c>
      <c r="AC110" s="174" t="s">
        <v>208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6345</v>
      </c>
      <c r="L111" s="20"/>
      <c r="M111" s="93"/>
      <c r="T111" s="20"/>
      <c r="Z111" s="21" t="s">
        <v>212</v>
      </c>
      <c r="AA111" s="174">
        <v>238</v>
      </c>
      <c r="AB111" s="174">
        <v>0.06</v>
      </c>
      <c r="AC111" s="174" t="s">
        <v>159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6345</v>
      </c>
      <c r="L112" s="20"/>
      <c r="M112" s="93"/>
      <c r="T112" s="20"/>
      <c r="Z112" s="21" t="s">
        <v>213</v>
      </c>
      <c r="AA112" s="174">
        <v>863</v>
      </c>
      <c r="AB112" s="174">
        <v>0.11</v>
      </c>
      <c r="AC112" s="174" t="s">
        <v>208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214</v>
      </c>
      <c r="AA113" s="174">
        <v>863</v>
      </c>
      <c r="AB113" s="174">
        <v>0.11</v>
      </c>
      <c r="AC113" s="174" t="s">
        <v>159</v>
      </c>
      <c r="AD113" s="179" t="s">
        <v>553</v>
      </c>
    </row>
    <row r="114" spans="1:30" ht="15">
      <c r="A114" s="2" t="s">
        <v>620</v>
      </c>
      <c r="J114" s="94" t="s">
        <v>99</v>
      </c>
      <c r="M114" s="93"/>
      <c r="T114" s="20"/>
      <c r="Z114" s="21" t="s">
        <v>496</v>
      </c>
      <c r="AA114" s="174">
        <v>238</v>
      </c>
      <c r="AB114" s="174">
        <v>0.1</v>
      </c>
      <c r="AC114" s="174" t="s">
        <v>208</v>
      </c>
      <c r="AD114" s="179" t="s">
        <v>553</v>
      </c>
    </row>
    <row r="115" spans="1:30" ht="15">
      <c r="A115" s="2"/>
      <c r="J115" s="94" t="s">
        <v>100</v>
      </c>
      <c r="K115" s="14">
        <f>ROUND(FTA1/PAYFACT,2)</f>
        <v>462.63</v>
      </c>
      <c r="L115" s="20"/>
      <c r="M115" s="93"/>
      <c r="T115" s="20"/>
      <c r="Z115" s="21" t="s">
        <v>497</v>
      </c>
      <c r="AA115" s="174">
        <v>238</v>
      </c>
      <c r="AB115" s="174">
        <v>0.1</v>
      </c>
      <c r="AC115" s="174" t="s">
        <v>159</v>
      </c>
      <c r="AD115" s="85" t="s">
        <v>567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172" t="s">
        <v>576</v>
      </c>
      <c r="AA116" s="175">
        <v>863</v>
      </c>
      <c r="AB116" s="175">
        <v>0.11</v>
      </c>
      <c r="AC116" s="175" t="s">
        <v>208</v>
      </c>
      <c r="AD116" s="85" t="s">
        <v>567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172" t="s">
        <v>577</v>
      </c>
      <c r="AA117" s="175">
        <v>863</v>
      </c>
      <c r="AB117" s="175">
        <v>0.11</v>
      </c>
      <c r="AC117" s="175" t="s">
        <v>159</v>
      </c>
      <c r="AD117" s="85"/>
    </row>
    <row r="118" spans="1:30" ht="15">
      <c r="A118" s="2"/>
      <c r="J118" s="94" t="s">
        <v>103</v>
      </c>
      <c r="K118" s="14">
        <f>ROUND(K110/PAYFACT,2)</f>
        <v>528.75</v>
      </c>
      <c r="L118" s="20"/>
      <c r="M118" s="93"/>
      <c r="Z118" s="172" t="s">
        <v>592</v>
      </c>
      <c r="AA118" s="175">
        <v>863</v>
      </c>
      <c r="AB118" s="175">
        <v>0.125</v>
      </c>
      <c r="AC118" s="175" t="s">
        <v>208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528.75</v>
      </c>
      <c r="L119" s="20"/>
      <c r="M119" s="93"/>
      <c r="Z119" s="172" t="s">
        <v>593</v>
      </c>
      <c r="AA119" s="175">
        <v>863</v>
      </c>
      <c r="AB119" s="175">
        <v>0.125</v>
      </c>
      <c r="AC119" s="175" t="s">
        <v>159</v>
      </c>
      <c r="AD119" s="85"/>
    </row>
    <row r="120" spans="1:30" ht="15">
      <c r="A120" s="2"/>
      <c r="J120" s="94" t="s">
        <v>105</v>
      </c>
      <c r="K120" s="14">
        <f>ROUND(K112/PAYFACT,2)</f>
        <v>528.75</v>
      </c>
      <c r="L120" s="20"/>
      <c r="M120" s="93"/>
      <c r="T120" s="20"/>
      <c r="Z120" s="172" t="s">
        <v>594</v>
      </c>
      <c r="AA120" s="175">
        <v>863</v>
      </c>
      <c r="AB120" s="175">
        <v>0.125</v>
      </c>
      <c r="AC120" s="175" t="s">
        <v>208</v>
      </c>
      <c r="AD120" s="85"/>
    </row>
    <row r="121" spans="1:30" ht="15">
      <c r="A121" s="150" t="s">
        <v>370</v>
      </c>
      <c r="J121" s="15"/>
      <c r="T121" s="20"/>
      <c r="Z121" s="172" t="s">
        <v>595</v>
      </c>
      <c r="AA121" s="175">
        <v>863</v>
      </c>
      <c r="AB121" s="175">
        <v>0.125</v>
      </c>
      <c r="AC121" s="175" t="s">
        <v>159</v>
      </c>
      <c r="AD121" s="85" t="s">
        <v>567</v>
      </c>
    </row>
    <row r="122" spans="1:30" ht="15">
      <c r="A122" s="2"/>
      <c r="J122" s="94" t="s">
        <v>106</v>
      </c>
      <c r="M122" s="93"/>
      <c r="T122" s="20"/>
      <c r="Z122" s="172" t="s">
        <v>578</v>
      </c>
      <c r="AA122" s="175">
        <v>513</v>
      </c>
      <c r="AB122" s="175">
        <v>0.1</v>
      </c>
      <c r="AC122" s="175" t="s">
        <v>208</v>
      </c>
      <c r="AD122" s="85" t="s">
        <v>567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12527</v>
      </c>
      <c r="L123" s="20"/>
      <c r="M123" s="93"/>
      <c r="T123" s="20"/>
      <c r="Z123" s="172" t="s">
        <v>579</v>
      </c>
      <c r="AA123" s="175">
        <v>513</v>
      </c>
      <c r="AB123" s="175">
        <v>0.1</v>
      </c>
      <c r="AC123" s="175" t="s">
        <v>159</v>
      </c>
      <c r="AD123" s="9" t="s">
        <v>4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21" t="s">
        <v>215</v>
      </c>
      <c r="AA124" s="174">
        <v>513</v>
      </c>
      <c r="AB124" s="174">
        <v>0.08</v>
      </c>
      <c r="AC124" s="174" t="s">
        <v>209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3769</v>
      </c>
      <c r="L125" s="20"/>
      <c r="M125" s="93"/>
      <c r="T125" s="20"/>
      <c r="Z125" s="21" t="s">
        <v>216</v>
      </c>
      <c r="AA125" s="174">
        <v>513</v>
      </c>
      <c r="AB125" s="174">
        <v>0.05</v>
      </c>
      <c r="AC125" s="174" t="s">
        <v>209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112.2</v>
      </c>
      <c r="L126" s="20"/>
      <c r="M126" s="93"/>
      <c r="T126" s="20"/>
      <c r="Z126" s="21" t="s">
        <v>217</v>
      </c>
      <c r="AA126" s="174">
        <v>317</v>
      </c>
      <c r="AB126" s="174">
        <v>0.06</v>
      </c>
      <c r="AC126" s="174" t="s">
        <v>208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0</v>
      </c>
      <c r="L127" s="20"/>
      <c r="M127" s="93"/>
      <c r="Z127" s="21" t="s">
        <v>218</v>
      </c>
      <c r="AA127" s="174">
        <v>0</v>
      </c>
      <c r="AB127" s="174">
        <v>0</v>
      </c>
      <c r="AC127" s="174" t="s">
        <v>209</v>
      </c>
      <c r="AD127" s="9" t="s">
        <v>4</v>
      </c>
    </row>
    <row r="128" spans="10:30" ht="12.75">
      <c r="J128" s="94" t="s">
        <v>109</v>
      </c>
      <c r="K128" s="14">
        <f>IF(STM="S",TCRS3,TCRM3)</f>
        <v>112.2</v>
      </c>
      <c r="L128" s="20"/>
      <c r="M128" s="93"/>
      <c r="T128" s="20"/>
      <c r="Z128" s="21" t="s">
        <v>219</v>
      </c>
      <c r="AA128" s="174">
        <v>0</v>
      </c>
      <c r="AB128" s="174">
        <v>0</v>
      </c>
      <c r="AC128" s="174" t="s">
        <v>209</v>
      </c>
      <c r="AD128" s="9" t="s">
        <v>4</v>
      </c>
    </row>
    <row r="129" spans="10:30" ht="12.75">
      <c r="J129" s="94" t="s">
        <v>110</v>
      </c>
      <c r="K129" s="14">
        <f>(TXCRB+(TXCROV*TXCRR))</f>
        <v>112.2</v>
      </c>
      <c r="L129" s="20"/>
      <c r="M129" s="93"/>
      <c r="T129" s="20"/>
      <c r="Z129" s="21" t="s">
        <v>220</v>
      </c>
      <c r="AA129" s="174">
        <v>0</v>
      </c>
      <c r="AB129" s="174">
        <v>0</v>
      </c>
      <c r="AC129" s="174" t="s">
        <v>209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221</v>
      </c>
      <c r="AA130" s="174">
        <v>513</v>
      </c>
      <c r="AB130" s="174">
        <v>0.09</v>
      </c>
      <c r="AC130" s="174" t="s">
        <v>209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222</v>
      </c>
      <c r="AA131" s="174">
        <v>513</v>
      </c>
      <c r="AB131" s="174">
        <v>0.09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50941.759999999995</v>
      </c>
      <c r="L132" s="20"/>
      <c r="M132" s="93"/>
      <c r="T132" s="20"/>
      <c r="Z132" s="21" t="s">
        <v>223</v>
      </c>
      <c r="AA132" s="174">
        <v>513</v>
      </c>
      <c r="AB132" s="174">
        <v>0</v>
      </c>
      <c r="AC132" s="174" t="s">
        <v>159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224</v>
      </c>
      <c r="AA133" s="174">
        <v>317</v>
      </c>
      <c r="AB133" s="174">
        <v>0.07</v>
      </c>
      <c r="AC133" s="174" t="s">
        <v>208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225</v>
      </c>
      <c r="AA134" s="174">
        <v>513</v>
      </c>
      <c r="AB134" s="174">
        <v>0.05</v>
      </c>
      <c r="AC134" s="174" t="s">
        <v>209</v>
      </c>
      <c r="AD134" s="179" t="s">
        <v>553</v>
      </c>
    </row>
    <row r="135" spans="10:30" ht="12.75">
      <c r="J135" s="94" t="s">
        <v>115</v>
      </c>
      <c r="K135" s="14">
        <f>IF((PAYFACT*TG4)-ADDALLOW1-SDED1&lt;=0,0,(PAYFACT*TG4)-ADDALLOW1-SDED1)</f>
        <v>56231</v>
      </c>
      <c r="L135" s="20"/>
      <c r="M135" s="93"/>
      <c r="Z135" s="21" t="s">
        <v>498</v>
      </c>
      <c r="AA135" s="174">
        <v>317</v>
      </c>
      <c r="AB135" s="174">
        <v>0.11</v>
      </c>
      <c r="AC135" s="174" t="s">
        <v>208</v>
      </c>
      <c r="AD135" s="179" t="s">
        <v>553</v>
      </c>
    </row>
    <row r="136" spans="10:30" ht="12.75">
      <c r="J136" s="94" t="s">
        <v>116</v>
      </c>
      <c r="K136" s="14">
        <f>IF((PAYFACT*TG5)-ADDALLOW1-SDED1&lt;=0,0,(PAYFACT*TG5)-ADDALLOW1-SDED1)</f>
        <v>56231</v>
      </c>
      <c r="L136" s="20"/>
      <c r="M136" s="93"/>
      <c r="T136" s="20"/>
      <c r="Z136" s="21" t="s">
        <v>499</v>
      </c>
      <c r="AA136" s="174">
        <v>317</v>
      </c>
      <c r="AB136" s="174">
        <v>0.11</v>
      </c>
      <c r="AC136" s="174" t="s">
        <v>159</v>
      </c>
      <c r="AD136" s="9" t="s">
        <v>4</v>
      </c>
    </row>
    <row r="137" spans="10:30" ht="12.75">
      <c r="J137" s="94" t="s">
        <v>117</v>
      </c>
      <c r="K137" s="14">
        <f>IF((PAYFACT*TG6)-ADDALLOW1-SDED1&lt;=0,0,(PAYFACT*TG6)-ADDALLOW1-SDED1)</f>
        <v>56231</v>
      </c>
      <c r="L137" s="20"/>
      <c r="M137" s="93"/>
      <c r="T137" s="20"/>
      <c r="Z137" s="21" t="s">
        <v>226</v>
      </c>
      <c r="AA137" s="174">
        <v>513</v>
      </c>
      <c r="AB137" s="174">
        <v>0.05</v>
      </c>
      <c r="AC137" s="174" t="s">
        <v>209</v>
      </c>
      <c r="AD137" s="9" t="s">
        <v>4</v>
      </c>
    </row>
    <row r="138" spans="10:30" ht="12.75">
      <c r="J138" s="15"/>
      <c r="T138" s="20"/>
      <c r="Z138" s="21" t="s">
        <v>227</v>
      </c>
      <c r="AA138" s="174">
        <v>0</v>
      </c>
      <c r="AB138" s="174">
        <v>0</v>
      </c>
      <c r="AC138" s="174" t="s">
        <v>209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228</v>
      </c>
      <c r="AA139" s="174">
        <v>0</v>
      </c>
      <c r="AB139" s="174">
        <v>0</v>
      </c>
      <c r="AC139" s="174" t="s">
        <v>209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34692</v>
      </c>
      <c r="L140" s="20"/>
      <c r="M140" s="93"/>
      <c r="T140" s="20"/>
      <c r="Z140" s="21" t="s">
        <v>229</v>
      </c>
      <c r="AA140" s="174">
        <v>513</v>
      </c>
      <c r="AB140" s="174">
        <v>0.05</v>
      </c>
      <c r="AC140" s="174" t="s">
        <v>209</v>
      </c>
      <c r="AD140" s="9" t="s">
        <v>551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552</v>
      </c>
      <c r="AA141" s="174">
        <v>513</v>
      </c>
      <c r="AB141" s="174">
        <v>0.08</v>
      </c>
      <c r="AC141" s="174" t="s">
        <v>209</v>
      </c>
      <c r="AD141" s="179" t="s">
        <v>553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500</v>
      </c>
      <c r="AA142" s="174">
        <v>513</v>
      </c>
      <c r="AB142" s="174">
        <v>0.1</v>
      </c>
      <c r="AC142" s="174" t="s">
        <v>209</v>
      </c>
      <c r="AD142" s="9" t="s">
        <v>4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54754</v>
      </c>
      <c r="L143" s="20"/>
      <c r="M143" s="93"/>
      <c r="Z143" s="21" t="s">
        <v>230</v>
      </c>
      <c r="AA143" s="174">
        <v>513</v>
      </c>
      <c r="AB143" s="174">
        <v>0.05</v>
      </c>
      <c r="AC143" s="174" t="s">
        <v>209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54754</v>
      </c>
      <c r="L144" s="20"/>
      <c r="M144" s="93"/>
      <c r="T144" s="20"/>
      <c r="Z144" s="21" t="s">
        <v>231</v>
      </c>
      <c r="AA144" s="174">
        <v>0</v>
      </c>
      <c r="AB144" s="174">
        <v>0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54754</v>
      </c>
      <c r="L145" s="20"/>
      <c r="M145" s="93"/>
      <c r="T145" s="20"/>
      <c r="Z145" s="21" t="s">
        <v>514</v>
      </c>
      <c r="AA145" s="174">
        <v>0</v>
      </c>
      <c r="AB145" s="174">
        <v>0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232</v>
      </c>
      <c r="AA146" s="174">
        <v>513</v>
      </c>
      <c r="AB146" s="174">
        <v>0.06</v>
      </c>
      <c r="AC146" s="174" t="s">
        <v>208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233</v>
      </c>
      <c r="AA147" s="174">
        <v>513</v>
      </c>
      <c r="AB147" s="174">
        <v>0.06</v>
      </c>
      <c r="AC147" s="174" t="s">
        <v>159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0.044</v>
      </c>
      <c r="L148" s="20"/>
      <c r="M148" s="93"/>
      <c r="N148" s="148"/>
      <c r="T148" s="20"/>
      <c r="Z148" s="21" t="s">
        <v>234</v>
      </c>
      <c r="AA148" s="174">
        <v>513</v>
      </c>
      <c r="AB148" s="41">
        <v>0.11</v>
      </c>
      <c r="AC148" s="174" t="s">
        <v>208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235</v>
      </c>
      <c r="AA149" s="174">
        <v>513</v>
      </c>
      <c r="AB149" s="174">
        <v>0.11</v>
      </c>
      <c r="AC149" s="174" t="s">
        <v>159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236</v>
      </c>
      <c r="AA150" s="174">
        <v>513</v>
      </c>
      <c r="AB150" s="41">
        <v>0.11</v>
      </c>
      <c r="AC150" s="174" t="s">
        <v>208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0.066</v>
      </c>
      <c r="L151" s="20"/>
      <c r="M151" s="93"/>
      <c r="N151" s="148"/>
      <c r="Z151" s="21" t="s">
        <v>237</v>
      </c>
      <c r="AA151" s="174">
        <v>513</v>
      </c>
      <c r="AB151" s="174">
        <v>0.11</v>
      </c>
      <c r="AC151" s="174" t="s">
        <v>159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0.066</v>
      </c>
      <c r="L152" s="20"/>
      <c r="M152" s="93"/>
      <c r="N152" s="148"/>
      <c r="T152" s="20"/>
      <c r="Z152" s="21" t="s">
        <v>238</v>
      </c>
      <c r="AA152" s="174">
        <v>513</v>
      </c>
      <c r="AB152" s="174">
        <v>0.1</v>
      </c>
      <c r="AC152" s="174" t="s">
        <v>208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0.066</v>
      </c>
      <c r="L153" s="20"/>
      <c r="M153" s="93"/>
      <c r="N153" s="148"/>
      <c r="T153" s="20"/>
      <c r="Z153" s="21" t="s">
        <v>239</v>
      </c>
      <c r="AA153" s="174">
        <v>513</v>
      </c>
      <c r="AB153" s="174">
        <v>0.1</v>
      </c>
      <c r="AC153" s="174" t="s">
        <v>159</v>
      </c>
      <c r="AD153" s="9" t="s">
        <v>4</v>
      </c>
    </row>
    <row r="154" spans="10:30" ht="12.75">
      <c r="J154" s="15"/>
      <c r="T154" s="20"/>
      <c r="Z154" s="21" t="s">
        <v>240</v>
      </c>
      <c r="AA154" s="174">
        <v>863</v>
      </c>
      <c r="AB154" s="174">
        <v>0.11</v>
      </c>
      <c r="AC154" s="174" t="s">
        <v>208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241</v>
      </c>
      <c r="AA155" s="174">
        <v>863</v>
      </c>
      <c r="AB155" s="174">
        <v>0.11</v>
      </c>
      <c r="AC155" s="174" t="s">
        <v>159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602.27</v>
      </c>
      <c r="L156" s="20"/>
      <c r="M156" s="93"/>
      <c r="T156" s="20"/>
      <c r="Z156" s="21" t="s">
        <v>242</v>
      </c>
      <c r="AA156" s="174">
        <v>513</v>
      </c>
      <c r="AB156" s="174">
        <v>0.06</v>
      </c>
      <c r="AC156" s="174" t="s">
        <v>208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243</v>
      </c>
      <c r="AA157" s="174">
        <v>513</v>
      </c>
      <c r="AB157" s="174">
        <v>0.06</v>
      </c>
      <c r="AC157" s="174" t="s">
        <v>159</v>
      </c>
      <c r="AD157" s="85" t="s">
        <v>551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172" t="s">
        <v>561</v>
      </c>
      <c r="AA158" s="175">
        <v>513</v>
      </c>
      <c r="AB158" s="175">
        <v>0.11</v>
      </c>
      <c r="AC158" s="175" t="s">
        <v>159</v>
      </c>
      <c r="AD158" s="85" t="s">
        <v>551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1485</v>
      </c>
      <c r="L159" s="20"/>
      <c r="M159" s="93"/>
      <c r="Z159" s="172" t="s">
        <v>562</v>
      </c>
      <c r="AA159" s="175">
        <v>863</v>
      </c>
      <c r="AB159" s="175">
        <v>0.11</v>
      </c>
      <c r="AC159" s="175" t="s">
        <v>208</v>
      </c>
      <c r="AD159" s="85" t="s">
        <v>551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1485</v>
      </c>
      <c r="L160" s="20"/>
      <c r="M160" s="93"/>
      <c r="T160" s="20"/>
      <c r="Z160" s="172" t="s">
        <v>563</v>
      </c>
      <c r="AA160" s="175">
        <v>863</v>
      </c>
      <c r="AB160" s="175">
        <v>0.11</v>
      </c>
      <c r="AC160" s="175" t="s">
        <v>159</v>
      </c>
      <c r="AD160" s="85" t="s">
        <v>551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1485</v>
      </c>
      <c r="L161" s="20"/>
      <c r="M161" s="93"/>
      <c r="T161" s="20"/>
      <c r="Z161" s="172" t="s">
        <v>560</v>
      </c>
      <c r="AA161" s="175">
        <v>513</v>
      </c>
      <c r="AB161" s="175">
        <v>0.11</v>
      </c>
      <c r="AC161" s="175" t="s">
        <v>208</v>
      </c>
      <c r="AD161" s="9" t="s">
        <v>4</v>
      </c>
    </row>
    <row r="162" spans="10:30" ht="12.75">
      <c r="J162" s="15"/>
      <c r="T162" s="20"/>
      <c r="Z162" s="21" t="s">
        <v>244</v>
      </c>
      <c r="AA162" s="174">
        <v>317</v>
      </c>
      <c r="AB162" s="174">
        <v>0.1</v>
      </c>
      <c r="AC162" s="174" t="s">
        <v>159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245</v>
      </c>
      <c r="AA163" s="174">
        <v>317</v>
      </c>
      <c r="AB163" s="174">
        <v>0.1</v>
      </c>
      <c r="AC163" s="174" t="s">
        <v>208</v>
      </c>
      <c r="AD163" s="9" t="s">
        <v>4</v>
      </c>
    </row>
    <row r="164" spans="10:30" ht="12.75">
      <c r="J164" s="94" t="s">
        <v>136</v>
      </c>
      <c r="K164" s="14">
        <f>ROUND(STG1-SBSA1,2)</f>
        <v>16249.76</v>
      </c>
      <c r="L164" s="20"/>
      <c r="M164" s="93"/>
      <c r="T164" s="20"/>
      <c r="Z164" s="21" t="s">
        <v>246</v>
      </c>
      <c r="AA164" s="174">
        <v>317</v>
      </c>
      <c r="AB164" s="174">
        <v>0.1</v>
      </c>
      <c r="AC164" s="174" t="s">
        <v>159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247</v>
      </c>
      <c r="AA165" s="174">
        <v>317</v>
      </c>
      <c r="AB165" s="174">
        <v>0.07</v>
      </c>
      <c r="AC165" s="174" t="s">
        <v>208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21" t="s">
        <v>248</v>
      </c>
      <c r="AA166" s="174">
        <v>317</v>
      </c>
      <c r="AB166" s="174">
        <v>0.105</v>
      </c>
      <c r="AC166" s="174" t="s">
        <v>159</v>
      </c>
      <c r="AD166" s="9" t="s">
        <v>4</v>
      </c>
    </row>
    <row r="167" spans="10:30" ht="12.75">
      <c r="J167" s="94" t="s">
        <v>461</v>
      </c>
      <c r="K167" s="14">
        <f>ROUND(K135-K143,2)</f>
        <v>1477</v>
      </c>
      <c r="L167" s="20"/>
      <c r="M167" s="93"/>
      <c r="Z167" s="21" t="s">
        <v>249</v>
      </c>
      <c r="AA167" s="174">
        <v>317</v>
      </c>
      <c r="AB167" s="174">
        <v>0.06</v>
      </c>
      <c r="AC167" s="174" t="s">
        <v>208</v>
      </c>
      <c r="AD167" s="9" t="s">
        <v>4</v>
      </c>
    </row>
    <row r="168" spans="10:30" ht="12.75">
      <c r="J168" s="94" t="s">
        <v>462</v>
      </c>
      <c r="K168" s="14">
        <f>ROUND(K136-K144,2)</f>
        <v>1477</v>
      </c>
      <c r="L168" s="20"/>
      <c r="M168" s="93"/>
      <c r="T168" s="20"/>
      <c r="Z168" s="21" t="s">
        <v>250</v>
      </c>
      <c r="AA168" s="174">
        <v>863</v>
      </c>
      <c r="AB168" s="174">
        <v>0</v>
      </c>
      <c r="AC168" s="174" t="s">
        <v>208</v>
      </c>
      <c r="AD168" s="9" t="s">
        <v>4</v>
      </c>
    </row>
    <row r="169" spans="10:30" ht="12.75">
      <c r="J169" s="94" t="s">
        <v>463</v>
      </c>
      <c r="K169" s="14">
        <f>ROUND(K137-K145,2)</f>
        <v>1477</v>
      </c>
      <c r="L169" s="20"/>
      <c r="M169" s="93"/>
      <c r="T169" s="20"/>
      <c r="Z169" s="172" t="s">
        <v>572</v>
      </c>
      <c r="AA169" s="175">
        <v>317</v>
      </c>
      <c r="AB169" s="175">
        <v>0.1</v>
      </c>
      <c r="AC169" s="175" t="s">
        <v>159</v>
      </c>
      <c r="AD169" s="85" t="s">
        <v>567</v>
      </c>
    </row>
    <row r="170" spans="10:30" ht="12.75">
      <c r="J170" s="15"/>
      <c r="T170" s="20"/>
      <c r="Z170" s="172" t="s">
        <v>573</v>
      </c>
      <c r="AA170" s="175">
        <v>317</v>
      </c>
      <c r="AB170" s="175">
        <v>0.1</v>
      </c>
      <c r="AC170" s="175" t="s">
        <v>208</v>
      </c>
      <c r="AD170" s="85"/>
    </row>
    <row r="171" spans="10:30" ht="12.75">
      <c r="J171" s="94" t="s">
        <v>139</v>
      </c>
      <c r="M171" s="93"/>
      <c r="T171" s="20"/>
      <c r="Z171" s="172" t="s">
        <v>601</v>
      </c>
      <c r="AA171" s="175">
        <v>317</v>
      </c>
      <c r="AB171" s="175">
        <v>0.135</v>
      </c>
      <c r="AC171" s="175" t="s">
        <v>208</v>
      </c>
      <c r="AD171" s="85"/>
    </row>
    <row r="172" spans="10:30" ht="12.75">
      <c r="J172" s="94" t="s">
        <v>140</v>
      </c>
      <c r="K172" s="48">
        <f>(SBST1+ROUND(SOVR1*SMTR1,5))</f>
        <v>1317.2594399999998</v>
      </c>
      <c r="L172" s="20"/>
      <c r="M172" s="93"/>
      <c r="T172" s="20"/>
      <c r="Z172" s="172" t="s">
        <v>597</v>
      </c>
      <c r="AA172" s="175">
        <v>317</v>
      </c>
      <c r="AB172" s="175">
        <v>0.135</v>
      </c>
      <c r="AC172" s="175" t="s">
        <v>159</v>
      </c>
      <c r="AD172" s="85"/>
    </row>
    <row r="173" spans="10:29" ht="12.75">
      <c r="J173" s="94" t="s">
        <v>141</v>
      </c>
      <c r="K173" s="48">
        <f>(K157+ROUND(K165*SMTR2,5))</f>
        <v>0</v>
      </c>
      <c r="L173" s="20"/>
      <c r="M173" s="93"/>
      <c r="T173" s="20"/>
      <c r="Z173" s="172" t="s">
        <v>602</v>
      </c>
      <c r="AA173" s="175">
        <v>317</v>
      </c>
      <c r="AB173" s="175">
        <v>0.135</v>
      </c>
      <c r="AC173" s="175" t="s">
        <v>208</v>
      </c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21" t="s">
        <v>251</v>
      </c>
      <c r="AA174" s="174">
        <v>513</v>
      </c>
      <c r="AB174" s="174">
        <v>0.09</v>
      </c>
      <c r="AC174" s="174" t="s">
        <v>209</v>
      </c>
    </row>
    <row r="175" spans="10:29" ht="12.75">
      <c r="J175" s="94" t="s">
        <v>143</v>
      </c>
      <c r="K175" s="48">
        <f>(K159+ROUND(K167*SMTR4,5))</f>
        <v>1582.482</v>
      </c>
      <c r="L175" s="20"/>
      <c r="M175" s="93"/>
      <c r="Z175" s="21" t="s">
        <v>252</v>
      </c>
      <c r="AA175" s="174">
        <v>513</v>
      </c>
      <c r="AB175" s="174">
        <v>0.09</v>
      </c>
      <c r="AC175" s="174" t="s">
        <v>209</v>
      </c>
    </row>
    <row r="176" spans="10:29" ht="12.75">
      <c r="J176" s="94" t="s">
        <v>144</v>
      </c>
      <c r="K176" s="48">
        <f>(K160+ROUND(K168*SMTR5,5))</f>
        <v>1582.482</v>
      </c>
      <c r="L176" s="20"/>
      <c r="M176" s="93"/>
      <c r="T176" s="20"/>
      <c r="Z176" s="21" t="s">
        <v>253</v>
      </c>
      <c r="AA176" s="174">
        <v>513</v>
      </c>
      <c r="AB176" s="174">
        <v>0.05</v>
      </c>
      <c r="AC176" s="174" t="s">
        <v>209</v>
      </c>
    </row>
    <row r="177" spans="10:30" ht="12.75">
      <c r="J177" s="94" t="s">
        <v>145</v>
      </c>
      <c r="K177" s="48">
        <f>(K161+ROUND(K169*SMTR6,5))</f>
        <v>1582.482</v>
      </c>
      <c r="L177" s="20"/>
      <c r="M177" s="93"/>
      <c r="T177" s="20"/>
      <c r="Z177" s="21" t="s">
        <v>254</v>
      </c>
      <c r="AA177" s="174">
        <v>0</v>
      </c>
      <c r="AB177" s="174">
        <v>0</v>
      </c>
      <c r="AC177" s="174" t="s">
        <v>209</v>
      </c>
      <c r="AD177" s="179" t="s">
        <v>553</v>
      </c>
    </row>
    <row r="178" spans="10:30" ht="12.75">
      <c r="J178" s="15"/>
      <c r="T178" s="20"/>
      <c r="Z178" s="21" t="s">
        <v>501</v>
      </c>
      <c r="AA178" s="174">
        <v>317</v>
      </c>
      <c r="AB178" s="174">
        <v>0.11</v>
      </c>
      <c r="AC178" s="174" t="s">
        <v>208</v>
      </c>
      <c r="AD178" s="179" t="s">
        <v>553</v>
      </c>
    </row>
    <row r="179" spans="10:30" ht="12.75">
      <c r="J179" s="94" t="s">
        <v>146</v>
      </c>
      <c r="M179" s="93"/>
      <c r="T179" s="20"/>
      <c r="Z179" s="21" t="s">
        <v>502</v>
      </c>
      <c r="AA179" s="174">
        <v>317</v>
      </c>
      <c r="AB179" s="174">
        <v>0.11</v>
      </c>
      <c r="AC179" s="174" t="s">
        <v>159</v>
      </c>
      <c r="AD179" s="179" t="s">
        <v>553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100.42</v>
      </c>
      <c r="L180" s="20"/>
      <c r="M180" s="93"/>
      <c r="T180" s="20"/>
      <c r="Z180" s="21" t="s">
        <v>503</v>
      </c>
      <c r="AA180" s="174">
        <v>513</v>
      </c>
      <c r="AB180" s="174">
        <v>0.1</v>
      </c>
      <c r="AC180" s="174" t="s">
        <v>209</v>
      </c>
      <c r="AD180" s="179" t="s">
        <v>553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21" t="s">
        <v>504</v>
      </c>
      <c r="AA181" s="174">
        <v>317</v>
      </c>
      <c r="AB181" s="174">
        <v>0.11</v>
      </c>
      <c r="AC181" s="174" t="s">
        <v>208</v>
      </c>
      <c r="AD181" s="179" t="s">
        <v>553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21" t="s">
        <v>505</v>
      </c>
      <c r="AA182" s="174">
        <v>317</v>
      </c>
      <c r="AB182" s="174">
        <v>0.11</v>
      </c>
      <c r="AC182" s="174" t="s">
        <v>159</v>
      </c>
      <c r="AD182" s="179" t="s">
        <v>553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122.52</v>
      </c>
      <c r="L183" s="20"/>
      <c r="M183" s="93"/>
      <c r="Z183" s="21" t="s">
        <v>506</v>
      </c>
      <c r="AA183" s="174">
        <v>513</v>
      </c>
      <c r="AB183" s="174">
        <v>0.1</v>
      </c>
      <c r="AC183" s="174" t="s">
        <v>209</v>
      </c>
      <c r="AD183" s="179" t="s">
        <v>553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122.52</v>
      </c>
      <c r="L184" s="20"/>
      <c r="M184" s="93"/>
      <c r="Z184" s="21" t="s">
        <v>507</v>
      </c>
      <c r="AA184" s="174">
        <v>513</v>
      </c>
      <c r="AB184" s="174">
        <v>0.1</v>
      </c>
      <c r="AC184" s="174" t="s">
        <v>209</v>
      </c>
      <c r="AD184" s="179" t="s">
        <v>584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122.52</v>
      </c>
      <c r="L185" s="20"/>
      <c r="M185" s="93"/>
      <c r="Z185" s="21" t="s">
        <v>531</v>
      </c>
      <c r="AA185" s="174">
        <v>513</v>
      </c>
      <c r="AB185" s="174">
        <v>0.08</v>
      </c>
      <c r="AC185" s="174" t="s">
        <v>209</v>
      </c>
      <c r="AD185" s="85" t="s">
        <v>551</v>
      </c>
    </row>
    <row r="186" spans="26:30" ht="12.75">
      <c r="Z186" s="172" t="s">
        <v>557</v>
      </c>
      <c r="AA186" s="175">
        <v>513</v>
      </c>
      <c r="AB186" s="175">
        <v>0.08</v>
      </c>
      <c r="AC186" s="175" t="s">
        <v>209</v>
      </c>
      <c r="AD186" s="85" t="s">
        <v>551</v>
      </c>
    </row>
    <row r="187" spans="26:30" ht="12.75">
      <c r="Z187" s="172" t="s">
        <v>555</v>
      </c>
      <c r="AA187" s="175">
        <v>317</v>
      </c>
      <c r="AB187" s="175">
        <v>0.09</v>
      </c>
      <c r="AC187" s="175" t="s">
        <v>208</v>
      </c>
      <c r="AD187" s="85" t="s">
        <v>551</v>
      </c>
    </row>
    <row r="188" spans="26:30" ht="12.75">
      <c r="Z188" s="172" t="s">
        <v>556</v>
      </c>
      <c r="AA188" s="175">
        <v>317</v>
      </c>
      <c r="AB188" s="175">
        <v>0.09</v>
      </c>
      <c r="AC188" s="175" t="s">
        <v>159</v>
      </c>
      <c r="AD188" s="179" t="s">
        <v>584</v>
      </c>
    </row>
    <row r="189" spans="26:30" ht="12.75">
      <c r="Z189" s="21" t="s">
        <v>529</v>
      </c>
      <c r="AA189" s="174">
        <v>317</v>
      </c>
      <c r="AB189" s="174">
        <v>0.09</v>
      </c>
      <c r="AC189" s="174" t="s">
        <v>208</v>
      </c>
      <c r="AD189" s="179" t="s">
        <v>584</v>
      </c>
    </row>
    <row r="190" spans="26:30" ht="12.75">
      <c r="Z190" s="21" t="s">
        <v>530</v>
      </c>
      <c r="AA190" s="174">
        <v>317</v>
      </c>
      <c r="AB190" s="174">
        <v>0.09</v>
      </c>
      <c r="AC190" s="174" t="s">
        <v>159</v>
      </c>
      <c r="AD190" s="179" t="s">
        <v>584</v>
      </c>
    </row>
    <row r="191" spans="26:30" ht="12.75">
      <c r="Z191" s="21" t="s">
        <v>532</v>
      </c>
      <c r="AA191" s="174">
        <v>513</v>
      </c>
      <c r="AB191" s="174">
        <v>0.08</v>
      </c>
      <c r="AC191" s="174" t="s">
        <v>209</v>
      </c>
      <c r="AD191" s="85" t="s">
        <v>567</v>
      </c>
    </row>
    <row r="192" spans="26:30" ht="12.75">
      <c r="Z192" s="172" t="s">
        <v>570</v>
      </c>
      <c r="AA192" s="175">
        <v>513</v>
      </c>
      <c r="AB192" s="175">
        <v>0.09</v>
      </c>
      <c r="AC192" s="175" t="s">
        <v>209</v>
      </c>
      <c r="AD192" s="85" t="s">
        <v>567</v>
      </c>
    </row>
    <row r="193" spans="26:30" ht="12.75">
      <c r="Z193" s="172" t="s">
        <v>571</v>
      </c>
      <c r="AA193" s="175">
        <v>513</v>
      </c>
      <c r="AB193" s="175">
        <v>0.095</v>
      </c>
      <c r="AC193" s="175" t="s">
        <v>209</v>
      </c>
      <c r="AD193" s="179" t="s">
        <v>553</v>
      </c>
    </row>
    <row r="194" spans="26:30" ht="12.75">
      <c r="Z194" s="21" t="s">
        <v>468</v>
      </c>
      <c r="AA194" s="174">
        <v>513</v>
      </c>
      <c r="AB194" s="174">
        <v>0.1</v>
      </c>
      <c r="AC194" s="174" t="s">
        <v>209</v>
      </c>
      <c r="AD194" s="179" t="s">
        <v>553</v>
      </c>
    </row>
    <row r="195" spans="26:30" ht="12.75">
      <c r="Z195" s="21" t="s">
        <v>469</v>
      </c>
      <c r="AA195" s="174">
        <v>513</v>
      </c>
      <c r="AB195" s="174">
        <v>0.1</v>
      </c>
      <c r="AC195" s="174" t="s">
        <v>209</v>
      </c>
      <c r="AD195" s="179" t="s">
        <v>553</v>
      </c>
    </row>
    <row r="196" spans="26:30" ht="12.75">
      <c r="Z196" s="21" t="s">
        <v>585</v>
      </c>
      <c r="AA196" s="174">
        <v>513</v>
      </c>
      <c r="AB196" s="174">
        <v>0.1</v>
      </c>
      <c r="AC196" s="174" t="s">
        <v>209</v>
      </c>
      <c r="AD196" s="179"/>
    </row>
    <row r="197" spans="26:30" ht="12.75">
      <c r="Z197" s="21" t="s">
        <v>596</v>
      </c>
      <c r="AA197" s="174">
        <v>513</v>
      </c>
      <c r="AB197" s="174">
        <v>0.125</v>
      </c>
      <c r="AC197" s="174" t="s">
        <v>209</v>
      </c>
      <c r="AD197" s="179" t="s">
        <v>553</v>
      </c>
    </row>
    <row r="198" spans="26:30" ht="12.75">
      <c r="Z198" s="21" t="s">
        <v>470</v>
      </c>
      <c r="AA198" s="174">
        <v>513</v>
      </c>
      <c r="AB198" s="174">
        <v>0.1</v>
      </c>
      <c r="AC198" s="174" t="s">
        <v>209</v>
      </c>
      <c r="AD198" s="179" t="s">
        <v>553</v>
      </c>
    </row>
    <row r="199" spans="26:30" ht="12.75">
      <c r="Z199" s="21" t="s">
        <v>471</v>
      </c>
      <c r="AA199" s="174">
        <v>513</v>
      </c>
      <c r="AB199" s="174">
        <v>0.1</v>
      </c>
      <c r="AC199" s="174" t="s">
        <v>209</v>
      </c>
      <c r="AD199" s="179" t="s">
        <v>553</v>
      </c>
    </row>
    <row r="200" spans="26:30" ht="12.75">
      <c r="Z200" s="21" t="s">
        <v>472</v>
      </c>
      <c r="AA200" s="174">
        <v>513</v>
      </c>
      <c r="AB200" s="174">
        <v>0.1</v>
      </c>
      <c r="AC200" s="174" t="s">
        <v>209</v>
      </c>
      <c r="AD200" s="179" t="s">
        <v>553</v>
      </c>
    </row>
    <row r="201" spans="26:30" ht="12.75">
      <c r="Z201" s="21" t="s">
        <v>473</v>
      </c>
      <c r="AA201" s="174">
        <v>513</v>
      </c>
      <c r="AB201" s="174">
        <v>0.1</v>
      </c>
      <c r="AC201" s="174" t="s">
        <v>209</v>
      </c>
      <c r="AD201" s="179" t="s">
        <v>553</v>
      </c>
    </row>
    <row r="202" spans="26:30" ht="12.75">
      <c r="Z202" s="21" t="s">
        <v>586</v>
      </c>
      <c r="AA202" s="174">
        <v>513</v>
      </c>
      <c r="AB202" s="174">
        <v>0.1</v>
      </c>
      <c r="AC202" s="174" t="s">
        <v>209</v>
      </c>
      <c r="AD202" s="179" t="s">
        <v>553</v>
      </c>
    </row>
    <row r="203" spans="26:30" ht="12.75">
      <c r="Z203" s="21" t="s">
        <v>587</v>
      </c>
      <c r="AA203" s="174">
        <v>513</v>
      </c>
      <c r="AB203" s="174">
        <v>0.1</v>
      </c>
      <c r="AC203" s="174" t="s">
        <v>209</v>
      </c>
      <c r="AD203" s="179"/>
    </row>
    <row r="204" spans="26:30" ht="12.75">
      <c r="Z204" s="21" t="s">
        <v>600</v>
      </c>
      <c r="AA204" s="174">
        <v>513</v>
      </c>
      <c r="AB204" s="174">
        <v>0.125</v>
      </c>
      <c r="AC204" s="174" t="s">
        <v>209</v>
      </c>
      <c r="AD204" s="179" t="s">
        <v>553</v>
      </c>
    </row>
    <row r="205" spans="26:30" ht="12.75">
      <c r="Z205" s="21" t="s">
        <v>474</v>
      </c>
      <c r="AA205" s="174">
        <v>513</v>
      </c>
      <c r="AB205" s="174">
        <v>0.1</v>
      </c>
      <c r="AC205" s="174" t="s">
        <v>209</v>
      </c>
      <c r="AD205" s="179" t="s">
        <v>553</v>
      </c>
    </row>
    <row r="206" spans="26:30" ht="12.75">
      <c r="Z206" s="21" t="s">
        <v>475</v>
      </c>
      <c r="AA206" s="174">
        <v>513</v>
      </c>
      <c r="AB206" s="174">
        <v>0.1</v>
      </c>
      <c r="AC206" s="174" t="s">
        <v>209</v>
      </c>
      <c r="AD206" s="179" t="s">
        <v>553</v>
      </c>
    </row>
    <row r="207" spans="26:30" ht="12.75">
      <c r="Z207" s="21" t="s">
        <v>476</v>
      </c>
      <c r="AA207" s="174">
        <v>513</v>
      </c>
      <c r="AB207" s="174">
        <v>0.1</v>
      </c>
      <c r="AC207" s="174" t="s">
        <v>209</v>
      </c>
      <c r="AD207" s="179" t="s">
        <v>584</v>
      </c>
    </row>
    <row r="208" spans="26:30" ht="12.75">
      <c r="Z208" s="21" t="s">
        <v>515</v>
      </c>
      <c r="AA208" s="174">
        <v>513</v>
      </c>
      <c r="AB208" s="174">
        <v>0.08</v>
      </c>
      <c r="AC208" s="174" t="s">
        <v>209</v>
      </c>
      <c r="AD208" s="179" t="s">
        <v>584</v>
      </c>
    </row>
    <row r="209" spans="26:30" ht="12.75">
      <c r="Z209" s="21" t="s">
        <v>516</v>
      </c>
      <c r="AA209" s="174">
        <v>513</v>
      </c>
      <c r="AB209" s="174">
        <v>0.08</v>
      </c>
      <c r="AC209" s="174" t="s">
        <v>209</v>
      </c>
      <c r="AD209" s="179" t="s">
        <v>584</v>
      </c>
    </row>
    <row r="210" spans="26:30" ht="12.75">
      <c r="Z210" s="21" t="s">
        <v>517</v>
      </c>
      <c r="AA210" s="174">
        <v>513</v>
      </c>
      <c r="AB210" s="174">
        <v>0.08</v>
      </c>
      <c r="AC210" s="174" t="s">
        <v>209</v>
      </c>
      <c r="AD210" s="179" t="s">
        <v>584</v>
      </c>
    </row>
    <row r="211" spans="26:30" ht="12.75">
      <c r="Z211" s="21" t="s">
        <v>518</v>
      </c>
      <c r="AA211" s="174">
        <v>513</v>
      </c>
      <c r="AB211" s="174">
        <v>0.08</v>
      </c>
      <c r="AC211" s="174" t="s">
        <v>209</v>
      </c>
      <c r="AD211" s="85" t="s">
        <v>551</v>
      </c>
    </row>
    <row r="212" spans="26:30" ht="12.75">
      <c r="Z212" s="172" t="s">
        <v>564</v>
      </c>
      <c r="AA212" s="175">
        <v>513</v>
      </c>
      <c r="AB212" s="175">
        <v>0.08</v>
      </c>
      <c r="AC212" s="175" t="s">
        <v>209</v>
      </c>
      <c r="AD212" s="85" t="s">
        <v>551</v>
      </c>
    </row>
    <row r="213" spans="26:30" ht="12.75">
      <c r="Z213" s="172" t="s">
        <v>565</v>
      </c>
      <c r="AA213" s="175">
        <v>513</v>
      </c>
      <c r="AB213" s="175">
        <v>0.08</v>
      </c>
      <c r="AC213" s="175" t="s">
        <v>209</v>
      </c>
      <c r="AD213" s="85" t="s">
        <v>591</v>
      </c>
    </row>
    <row r="214" spans="26:30" ht="12.75">
      <c r="Z214" s="172" t="s">
        <v>590</v>
      </c>
      <c r="AA214" s="175">
        <v>513</v>
      </c>
      <c r="AB214" s="175">
        <v>0.125</v>
      </c>
      <c r="AC214" s="175" t="s">
        <v>209</v>
      </c>
      <c r="AD214" s="85" t="s">
        <v>567</v>
      </c>
    </row>
    <row r="215" spans="26:30" ht="12.75">
      <c r="Z215" s="172" t="s">
        <v>580</v>
      </c>
      <c r="AA215" s="175">
        <v>513</v>
      </c>
      <c r="AB215" s="175">
        <v>0.09</v>
      </c>
      <c r="AC215" s="175" t="s">
        <v>209</v>
      </c>
      <c r="AD215" s="85" t="s">
        <v>567</v>
      </c>
    </row>
    <row r="216" spans="26:30" ht="12.75">
      <c r="Z216" s="172" t="s">
        <v>581</v>
      </c>
      <c r="AA216" s="175">
        <v>513</v>
      </c>
      <c r="AB216" s="175">
        <v>0.09</v>
      </c>
      <c r="AC216" s="175" t="s">
        <v>209</v>
      </c>
      <c r="AD216" s="85" t="s">
        <v>567</v>
      </c>
    </row>
    <row r="217" spans="26:30" ht="12.75">
      <c r="Z217" s="172" t="s">
        <v>582</v>
      </c>
      <c r="AA217" s="175">
        <v>513</v>
      </c>
      <c r="AB217" s="175">
        <v>0.095</v>
      </c>
      <c r="AC217" s="175" t="s">
        <v>209</v>
      </c>
      <c r="AD217" s="85" t="s">
        <v>567</v>
      </c>
    </row>
    <row r="218" spans="26:29" ht="12.75">
      <c r="Z218" s="172" t="s">
        <v>583</v>
      </c>
      <c r="AA218" s="175">
        <v>513</v>
      </c>
      <c r="AB218" s="175">
        <v>0.095</v>
      </c>
      <c r="AC218" s="175" t="s">
        <v>209</v>
      </c>
    </row>
    <row r="219" spans="26:29" ht="12.75">
      <c r="Z219" s="21" t="s">
        <v>255</v>
      </c>
      <c r="AA219" s="174">
        <v>0</v>
      </c>
      <c r="AB219" s="174">
        <v>0.08</v>
      </c>
      <c r="AC219" s="174" t="s">
        <v>208</v>
      </c>
    </row>
    <row r="220" spans="26:29" ht="12.75">
      <c r="Z220" s="21" t="s">
        <v>256</v>
      </c>
      <c r="AA220" s="174">
        <v>0</v>
      </c>
      <c r="AB220" s="174">
        <v>0.01</v>
      </c>
      <c r="AC220" s="174" t="s">
        <v>208</v>
      </c>
    </row>
    <row r="221" spans="26:29" ht="12.75">
      <c r="Z221" s="21" t="s">
        <v>257</v>
      </c>
      <c r="AA221" s="174">
        <v>0</v>
      </c>
      <c r="AB221" s="174">
        <v>0.01</v>
      </c>
      <c r="AC221" s="174" t="s">
        <v>159</v>
      </c>
    </row>
    <row r="222" spans="26:29" ht="12.75">
      <c r="Z222" s="21" t="s">
        <v>258</v>
      </c>
      <c r="AA222" s="174">
        <v>0</v>
      </c>
      <c r="AB222" s="174">
        <v>0.08</v>
      </c>
      <c r="AC222" s="174" t="s">
        <v>159</v>
      </c>
    </row>
    <row r="223" spans="26:29" ht="12.75">
      <c r="Z223" s="21" t="s">
        <v>208</v>
      </c>
      <c r="AA223" s="174">
        <v>0</v>
      </c>
      <c r="AB223" s="174">
        <v>0</v>
      </c>
      <c r="AC223" s="174" t="s">
        <v>208</v>
      </c>
    </row>
    <row r="224" spans="26:29" ht="12.75">
      <c r="Z224" s="21" t="s">
        <v>259</v>
      </c>
      <c r="AA224" s="174">
        <v>0</v>
      </c>
      <c r="AB224" s="174">
        <v>0</v>
      </c>
      <c r="AC224" s="174" t="s">
        <v>159</v>
      </c>
    </row>
    <row r="225" spans="26:29" ht="12.75">
      <c r="Z225" s="21" t="s">
        <v>165</v>
      </c>
      <c r="AA225" s="174">
        <v>0</v>
      </c>
      <c r="AB225" s="174">
        <v>0</v>
      </c>
      <c r="AC225" s="174" t="s">
        <v>209</v>
      </c>
    </row>
    <row r="226" spans="26:29" ht="12.75">
      <c r="Z226" s="21" t="s">
        <v>168</v>
      </c>
      <c r="AA226" s="174">
        <v>0</v>
      </c>
      <c r="AB226" s="174">
        <v>0</v>
      </c>
      <c r="AC226" s="174" t="s">
        <v>208</v>
      </c>
    </row>
    <row r="227" spans="26:29" ht="12.75">
      <c r="Z227" s="21" t="s">
        <v>260</v>
      </c>
      <c r="AA227" s="174">
        <v>0</v>
      </c>
      <c r="AB227" s="174">
        <v>0</v>
      </c>
      <c r="AC227" s="174" t="s">
        <v>159</v>
      </c>
    </row>
    <row r="228" spans="26:29" ht="12.75">
      <c r="Z228" s="21" t="s">
        <v>261</v>
      </c>
      <c r="AA228" s="174">
        <v>0</v>
      </c>
      <c r="AB228" s="174">
        <v>0.075</v>
      </c>
      <c r="AC228" s="174" t="s">
        <v>208</v>
      </c>
    </row>
    <row r="229" spans="26:29" ht="12.75">
      <c r="Z229" s="21" t="s">
        <v>262</v>
      </c>
      <c r="AA229" s="174">
        <v>513</v>
      </c>
      <c r="AB229" s="174">
        <v>0.09</v>
      </c>
      <c r="AC229" s="174" t="s">
        <v>209</v>
      </c>
    </row>
    <row r="230" spans="26:29" ht="12.75">
      <c r="Z230" s="21" t="s">
        <v>263</v>
      </c>
      <c r="AA230" s="174">
        <v>513</v>
      </c>
      <c r="AB230" s="174">
        <v>0.09</v>
      </c>
      <c r="AC230" s="174" t="s">
        <v>209</v>
      </c>
    </row>
    <row r="231" spans="26:29" ht="12.75">
      <c r="Z231" s="21" t="s">
        <v>264</v>
      </c>
      <c r="AA231" s="174">
        <v>513</v>
      </c>
      <c r="AB231" s="174">
        <v>0.09</v>
      </c>
      <c r="AC231" s="174" t="s">
        <v>209</v>
      </c>
    </row>
    <row r="232" spans="26:29" ht="12.75">
      <c r="Z232" s="21" t="s">
        <v>265</v>
      </c>
      <c r="AA232" s="174">
        <v>513</v>
      </c>
      <c r="AB232" s="174">
        <v>0.09</v>
      </c>
      <c r="AC232" s="174" t="s">
        <v>209</v>
      </c>
    </row>
    <row r="233" spans="26:29" ht="12.75">
      <c r="Z233" s="21" t="s">
        <v>267</v>
      </c>
      <c r="AA233" s="174">
        <v>513</v>
      </c>
      <c r="AB233" s="174">
        <v>0.095</v>
      </c>
      <c r="AC233" s="174" t="s">
        <v>209</v>
      </c>
    </row>
    <row r="234" spans="26:29" ht="12.75">
      <c r="Z234" s="21" t="s">
        <v>268</v>
      </c>
      <c r="AA234" s="174">
        <v>513</v>
      </c>
      <c r="AB234" s="174">
        <v>0.095</v>
      </c>
      <c r="AC234" s="174" t="s">
        <v>209</v>
      </c>
    </row>
    <row r="235" spans="26:29" ht="12.75">
      <c r="Z235" s="21" t="s">
        <v>269</v>
      </c>
      <c r="AA235" s="174">
        <v>513</v>
      </c>
      <c r="AB235" s="174">
        <v>0.05</v>
      </c>
      <c r="AC235" s="174" t="s">
        <v>209</v>
      </c>
    </row>
    <row r="236" spans="26:29" ht="12.75">
      <c r="Z236" s="21" t="s">
        <v>266</v>
      </c>
      <c r="AA236" s="174">
        <v>0</v>
      </c>
      <c r="AB236" s="174">
        <v>0.075</v>
      </c>
      <c r="AC236" s="174" t="s">
        <v>159</v>
      </c>
    </row>
    <row r="237" spans="26:29" ht="12.75">
      <c r="Z237" s="21" t="s">
        <v>270</v>
      </c>
      <c r="AA237" s="174">
        <v>513</v>
      </c>
      <c r="AB237" s="174">
        <v>0.095</v>
      </c>
      <c r="AC237" s="174" t="s">
        <v>209</v>
      </c>
    </row>
    <row r="238" spans="26:29" ht="12.75">
      <c r="Z238" s="21" t="s">
        <v>271</v>
      </c>
      <c r="AA238" s="174">
        <v>513</v>
      </c>
      <c r="AB238" s="174">
        <v>0.05</v>
      </c>
      <c r="AC238" s="174" t="s">
        <v>209</v>
      </c>
    </row>
    <row r="239" spans="26:29" ht="12.75">
      <c r="Z239" s="21" t="s">
        <v>272</v>
      </c>
      <c r="AA239" s="174">
        <v>513</v>
      </c>
      <c r="AB239" s="174">
        <v>0.05</v>
      </c>
      <c r="AC239" s="174" t="s">
        <v>209</v>
      </c>
    </row>
    <row r="240" spans="26:29" ht="12.75">
      <c r="Z240" s="21" t="s">
        <v>273</v>
      </c>
      <c r="AA240" s="174">
        <v>0</v>
      </c>
      <c r="AB240" s="174">
        <v>0.075</v>
      </c>
      <c r="AC240" s="174" t="s">
        <v>208</v>
      </c>
    </row>
    <row r="241" spans="26:29" ht="12.75">
      <c r="Z241" s="21" t="s">
        <v>274</v>
      </c>
      <c r="AA241" s="174">
        <v>0</v>
      </c>
      <c r="AB241" s="174">
        <v>0.075</v>
      </c>
      <c r="AC241" s="174" t="s">
        <v>159</v>
      </c>
    </row>
    <row r="242" spans="26:29" ht="12.75">
      <c r="Z242" s="21" t="s">
        <v>275</v>
      </c>
      <c r="AA242" s="174">
        <v>513</v>
      </c>
      <c r="AB242" s="174">
        <v>0.05</v>
      </c>
      <c r="AC242" s="174" t="s">
        <v>209</v>
      </c>
    </row>
    <row r="247" spans="26:30" ht="12.75">
      <c r="Z247" s="10" t="s">
        <v>542</v>
      </c>
      <c r="AD247" s="179" t="s">
        <v>584</v>
      </c>
    </row>
    <row r="248" spans="26:30" ht="12.75">
      <c r="Z248" s="21" t="s">
        <v>211</v>
      </c>
      <c r="AA248" s="7">
        <v>238</v>
      </c>
      <c r="AB248" s="7">
        <v>0.1</v>
      </c>
      <c r="AC248" s="7" t="s">
        <v>208</v>
      </c>
      <c r="AD248" s="179" t="s">
        <v>584</v>
      </c>
    </row>
    <row r="249" spans="26:30" ht="12.75">
      <c r="Z249" s="21" t="s">
        <v>212</v>
      </c>
      <c r="AA249" s="7">
        <v>238</v>
      </c>
      <c r="AB249" s="7">
        <v>0.1</v>
      </c>
      <c r="AC249" s="7" t="s">
        <v>159</v>
      </c>
      <c r="AD249" s="179" t="s">
        <v>584</v>
      </c>
    </row>
    <row r="250" spans="26:30" ht="12.75">
      <c r="Z250" s="21" t="s">
        <v>215</v>
      </c>
      <c r="AA250" s="7">
        <v>513</v>
      </c>
      <c r="AB250" s="7">
        <v>0.08</v>
      </c>
      <c r="AC250" s="7" t="s">
        <v>209</v>
      </c>
      <c r="AD250" s="179" t="s">
        <v>584</v>
      </c>
    </row>
    <row r="251" spans="26:30" ht="12.75">
      <c r="Z251" s="21" t="s">
        <v>234</v>
      </c>
      <c r="AA251" s="7">
        <v>513</v>
      </c>
      <c r="AB251" s="7">
        <v>0.11</v>
      </c>
      <c r="AC251" s="7" t="s">
        <v>208</v>
      </c>
      <c r="AD251" s="179" t="s">
        <v>584</v>
      </c>
    </row>
    <row r="252" spans="26:30" ht="12.75">
      <c r="Z252" s="21" t="s">
        <v>235</v>
      </c>
      <c r="AA252" s="7">
        <v>513</v>
      </c>
      <c r="AB252" s="7">
        <v>0.11</v>
      </c>
      <c r="AC252" s="7" t="s">
        <v>159</v>
      </c>
      <c r="AD252" s="179" t="s">
        <v>584</v>
      </c>
    </row>
    <row r="253" spans="26:30" ht="12.75">
      <c r="Z253" s="21" t="s">
        <v>236</v>
      </c>
      <c r="AA253" s="7">
        <v>513</v>
      </c>
      <c r="AB253" s="7">
        <v>0.11</v>
      </c>
      <c r="AC253" s="7" t="s">
        <v>208</v>
      </c>
      <c r="AD253" s="179" t="s">
        <v>584</v>
      </c>
    </row>
    <row r="254" spans="26:30" ht="12.75">
      <c r="Z254" s="21" t="s">
        <v>237</v>
      </c>
      <c r="AA254" s="7">
        <v>513</v>
      </c>
      <c r="AB254" s="7">
        <v>0.11</v>
      </c>
      <c r="AC254" s="7" t="s">
        <v>159</v>
      </c>
      <c r="AD254" s="179" t="s">
        <v>584</v>
      </c>
    </row>
    <row r="255" spans="26:30" ht="12.75">
      <c r="Z255" s="21" t="s">
        <v>240</v>
      </c>
      <c r="AA255" s="7">
        <v>863</v>
      </c>
      <c r="AB255" s="7">
        <v>0.11</v>
      </c>
      <c r="AC255" s="7" t="s">
        <v>208</v>
      </c>
      <c r="AD255" s="179" t="s">
        <v>584</v>
      </c>
    </row>
    <row r="256" spans="26:29" ht="12.75">
      <c r="Z256" s="21" t="s">
        <v>241</v>
      </c>
      <c r="AA256" s="7">
        <v>863</v>
      </c>
      <c r="AB256" s="7">
        <v>0.11</v>
      </c>
      <c r="AC256" s="7" t="s">
        <v>159</v>
      </c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2015-05-04T19:22:09Z</dcterms:modified>
  <cp:category>Tax Year 2009</cp:category>
  <cp:version/>
  <cp:contentType/>
  <cp:contentStatus/>
</cp:coreProperties>
</file>