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0" sheetId="1" r:id="rId1"/>
  </sheets>
  <definedNames>
    <definedName name="ADDALLOW1">'idls10'!$K$124</definedName>
    <definedName name="CAT">'idls10'!$B$8</definedName>
    <definedName name="CBID">'idls10'!$B$4</definedName>
    <definedName name="Days_in_Pay_Period">'idls10'!$D$5</definedName>
    <definedName name="DCA1">'idls10'!$B$22</definedName>
    <definedName name="DCA2">'idls10'!$C$22</definedName>
    <definedName name="DCA3">'idls10'!$D$22</definedName>
    <definedName name="DCA4">'idls10'!$F$22</definedName>
    <definedName name="DCA5">'idls10'!$G$22</definedName>
    <definedName name="DCA6">'idls10'!$H$22</definedName>
    <definedName name="DED1">'idls10'!$U$7</definedName>
    <definedName name="DED2">'idls10'!$U$8</definedName>
    <definedName name="DED3">'idls10'!$U$9</definedName>
    <definedName name="DED4">'idls10'!$U$10</definedName>
    <definedName name="Divided_By">'idls10'!$D$32</definedName>
    <definedName name="EMPCR">'idls10'!$U$17:$V$39</definedName>
    <definedName name="EPMC">'idls10'!$K$14</definedName>
    <definedName name="EPMC_P">'idls10'!$K$13</definedName>
    <definedName name="EPMC2">'idls10'!$V$14</definedName>
    <definedName name="EPMCD">'idls10'!$U$6</definedName>
    <definedName name="FAN1">'idls10'!$K$59</definedName>
    <definedName name="FAN2">'idls10'!$K$60</definedName>
    <definedName name="FAN3">'idls10'!$K$61</definedName>
    <definedName name="FAN4">'idls10'!$K$62</definedName>
    <definedName name="FAN5">'idls10'!$K$63</definedName>
    <definedName name="FAN6">'idls10'!$K$64</definedName>
    <definedName name="FBSA1">'idls10'!$K$75</definedName>
    <definedName name="FBSA2">'idls10'!$K$76</definedName>
    <definedName name="FBSA3">'idls10'!$K$77</definedName>
    <definedName name="FBSA4">'idls10'!$K$78</definedName>
    <definedName name="FBSA5">'idls10'!$K$79</definedName>
    <definedName name="FBSA6">'idls10'!$K$80</definedName>
    <definedName name="FBST1">'idls10'!$K$91</definedName>
    <definedName name="FBST2">'idls10'!$K$92</definedName>
    <definedName name="FBST3">'idls10'!$K$93</definedName>
    <definedName name="FBST4">'idls10'!$K$94</definedName>
    <definedName name="FBST5">'idls10'!$K$95</definedName>
    <definedName name="FBST6">'idls10'!$K$96</definedName>
    <definedName name="FEDE">'idls10'!$D$13</definedName>
    <definedName name="FEDERAL">'idls10'!$X$1:$X$25</definedName>
    <definedName name="FEDEXM">'idls10'!$K$57</definedName>
    <definedName name="FEDEXMPT1">'idls10'!$AF$2</definedName>
    <definedName name="FEDM">'idls10'!$B$13</definedName>
    <definedName name="FMTR1">'idls10'!$K$83</definedName>
    <definedName name="FMTR2">'idls10'!$K$84</definedName>
    <definedName name="FMTR3">'idls10'!$K$85</definedName>
    <definedName name="FMTR4">'idls10'!$K$86</definedName>
    <definedName name="FMTR5">'idls10'!$K$87</definedName>
    <definedName name="FMTR6">'idls10'!$K$88</definedName>
    <definedName name="FOVR1">'idls10'!$K$99</definedName>
    <definedName name="FOVR2">'idls10'!$K$100</definedName>
    <definedName name="FOVR3">'idls10'!$K$101</definedName>
    <definedName name="FOVR4">'idls10'!$K$102</definedName>
    <definedName name="FOVR5">'idls10'!$K$103</definedName>
    <definedName name="FOVR6">'idls10'!$K$104</definedName>
    <definedName name="FTA1">'idls10'!$K$107</definedName>
    <definedName name="FTA2">'idls10'!$K$108</definedName>
    <definedName name="FTA3">'idls10'!$K$109</definedName>
    <definedName name="FTAX1">'idls10'!$K$115</definedName>
    <definedName name="FTAX2">'idls10'!$K$116</definedName>
    <definedName name="FTAX3">'idls10'!$K$117</definedName>
    <definedName name="FTAX4">'idls10'!$K$118</definedName>
    <definedName name="FTAX5">'idls10'!$K$119</definedName>
    <definedName name="FTAX6">'idls10'!$K$120</definedName>
    <definedName name="FTG1">'idls10'!$K$67</definedName>
    <definedName name="FTG2">'idls10'!$K$68</definedName>
    <definedName name="FTG3">'idls10'!$K$69</definedName>
    <definedName name="FTG4">'idls10'!$K$70</definedName>
    <definedName name="FTG5">'idls10'!$K$71</definedName>
    <definedName name="FTG6">'idls10'!$K$72</definedName>
    <definedName name="FTXTBLM1">'idls10'!$AF$18:$AH$26</definedName>
    <definedName name="FTXTBLSH1">'idls10'!$AF$6:$AH$14</definedName>
    <definedName name="Full_Net">'idls10'!$B$30</definedName>
    <definedName name="Gross_Net">'idls10'!$K$2</definedName>
    <definedName name="Grs_Full_Supple">'idls10'!$B$33</definedName>
    <definedName name="IDL_2_3">'idls10'!$K$5</definedName>
    <definedName name="IDL_23_Days">'idls10'!$B$20</definedName>
    <definedName name="IDL_23_Grs">'idls10'!$P$11</definedName>
    <definedName name="IDL_23_Hrs">'idls10'!$C$20</definedName>
    <definedName name="IDL_23_Net">'idls10'!$F$30</definedName>
    <definedName name="IDL_Full">'idls10'!$K$4</definedName>
    <definedName name="IDL_Full_Days">'idls10'!$B$19</definedName>
    <definedName name="IDL_Full_Hrs">'idls10'!$C$19</definedName>
    <definedName name="IDL_Full_Net">'idls10'!$D$30</definedName>
    <definedName name="IDL_Grs">'idls10'!$P$9</definedName>
    <definedName name="INSTRUCTIONS">'idls10'!$A$42:$H$64</definedName>
    <definedName name="Iss_Date">'idls10'!$P$19:$Q$30</definedName>
    <definedName name="Iss_Mon_Yr">'idls10'!$D$15</definedName>
    <definedName name="IT">'idls10'!$A$1:$H$25</definedName>
    <definedName name="LIE">'idls10'!$K$123</definedName>
    <definedName name="LIEH1">'idls10'!$AM$8</definedName>
    <definedName name="LIEM1">'idls10'!$AK$8</definedName>
    <definedName name="LIEM2">'idls10'!$AL$8</definedName>
    <definedName name="LIES1">'idls10'!$AJ$8</definedName>
    <definedName name="Locked_in_Pay">'idls10'!$D$6</definedName>
    <definedName name="MACROS">'idls10'!$AD$70:$AD$142</definedName>
    <definedName name="Mand_Hold_Factor">'idls10'!$S$52:$T$63</definedName>
    <definedName name="MD_">'idls10'!$W$2</definedName>
    <definedName name="MED">'idls10'!$U$3</definedName>
    <definedName name="MED_">'idls10'!$U$2</definedName>
    <definedName name="NOMED_">'idls10'!$W$3</definedName>
    <definedName name="NOOA_">'idls10'!$V$3</definedName>
    <definedName name="OA_">'idls10'!$V$2</definedName>
    <definedName name="OAC">'idls10'!$B$10</definedName>
    <definedName name="OASDI">'idls10'!$U$5</definedName>
    <definedName name="OASDI_">'idls10'!$U$4</definedName>
    <definedName name="Org_Hr_Rate">'idls10'!$K$7</definedName>
    <definedName name="Org_Sal_Rate">'idls10'!$Q$1</definedName>
    <definedName name="p">'idls10'!$K$13</definedName>
    <definedName name="Pay_Period">'idls10'!$D$8</definedName>
    <definedName name="PAYFACT">'idls10'!$K$56</definedName>
    <definedName name="PayFreq">'idls10'!$B$5</definedName>
    <definedName name="PER1">'idls10'!$V$7</definedName>
    <definedName name="PER2">'idls10'!$V$8</definedName>
    <definedName name="PER3">'idls10'!$V$9</definedName>
    <definedName name="PER4">'idls10'!$V$10</definedName>
    <definedName name="_xlnm.Print_Area" localSheetId="0">'idls10'!$A$1:$H$35</definedName>
    <definedName name="Red_Sal_Rate">'idls10'!$D$3</definedName>
    <definedName name="Red_Sal_Rate2">'idls10'!$N$20</definedName>
    <definedName name="Reg_Days">'idls10'!$B$18</definedName>
    <definedName name="Reg_EPMC">'idls10'!$M$3</definedName>
    <definedName name="Reg_Hrs">'idls10'!$C$18</definedName>
    <definedName name="Reg_Med">'idls10'!$M$5</definedName>
    <definedName name="Reg_Net">'idls10'!$C$30</definedName>
    <definedName name="Reg_Net_Grs">'idls10'!$K$3</definedName>
    <definedName name="Reg_SDI">'idls10'!$M$6</definedName>
    <definedName name="Reg_SS">'idls10'!$M$4</definedName>
    <definedName name="Ret_SM_Exl_Apply">'idls10'!$B$9</definedName>
    <definedName name="Ret_Sp_110210">'idls10'!$Z$249:$AD$257</definedName>
    <definedName name="RETID_TABLE">'idls10'!$Z$3:$AD$243</definedName>
    <definedName name="SADDALL1">'idls10'!$AK$3</definedName>
    <definedName name="SafetyCheck">'idls10'!$V$15</definedName>
    <definedName name="Salary_Per">'idls10'!$G$3</definedName>
    <definedName name="Salary_Rate">'idls10'!$B$3</definedName>
    <definedName name="SBSA1">'idls10'!$K$140</definedName>
    <definedName name="SBSA2">'idls10'!$K$141</definedName>
    <definedName name="SBSA3">'idls10'!$K$142</definedName>
    <definedName name="SBSA4">'idls10'!$K$143</definedName>
    <definedName name="SBSA5">'idls10'!$K$144</definedName>
    <definedName name="SBSA6">'idls10'!$K$145</definedName>
    <definedName name="SBST1">'idls10'!$K$156</definedName>
    <definedName name="SBST2">'idls10'!$K$157</definedName>
    <definedName name="SBST3">'idls10'!$K$158</definedName>
    <definedName name="SBST4">'idls10'!$K$159</definedName>
    <definedName name="SBST5">'idls10'!$K$160</definedName>
    <definedName name="SBST6">'idls10'!$K$161</definedName>
    <definedName name="SDED1">'idls10'!$K$125</definedName>
    <definedName name="SDH1">'idls10'!$AM$13</definedName>
    <definedName name="SDI">'idls10'!$B$11</definedName>
    <definedName name="SDI_CBID">'idls10'!$R$27:$S$47</definedName>
    <definedName name="SDI1">'idls10'!$K$17</definedName>
    <definedName name="SDIGRS">'idls10'!$K$18</definedName>
    <definedName name="SDM1">'idls10'!$AK$13</definedName>
    <definedName name="SDM2">'idls10'!$AL$13</definedName>
    <definedName name="SDS1">'idls10'!$AJ$13</definedName>
    <definedName name="Semi_PP_Days">'idls10'!$G$5</definedName>
    <definedName name="SMTR1">'idls10'!$K$148</definedName>
    <definedName name="SMTR2">'idls10'!$K$149</definedName>
    <definedName name="SMTR3">'idls10'!$K$150</definedName>
    <definedName name="SMTR4">'idls10'!$K$151</definedName>
    <definedName name="SMTR5">'idls10'!$K$152</definedName>
    <definedName name="SMTR6">'idls10'!$K$153</definedName>
    <definedName name="SOVR1">'idls10'!$K$164</definedName>
    <definedName name="SOVR2">'idls10'!$K$165</definedName>
    <definedName name="SOVR3">'idls10'!$K$166</definedName>
    <definedName name="SOVR4">'idls10'!$K$167</definedName>
    <definedName name="SOVR5">'idls10'!$K$168</definedName>
    <definedName name="SOVR6">'idls10'!$K$169</definedName>
    <definedName name="STA">'idls10'!$B$15</definedName>
    <definedName name="STA1">'idls10'!$K$172</definedName>
    <definedName name="STA2">'idls10'!$K$173</definedName>
    <definedName name="STA3">'idls10'!$K$174</definedName>
    <definedName name="STA4">'idls10'!$K$175</definedName>
    <definedName name="STA5">'idls10'!$K$176</definedName>
    <definedName name="STA6">'idls10'!$K$177</definedName>
    <definedName name="STAX1">'idls10'!$K$180</definedName>
    <definedName name="STAX2">'idls10'!$K$181</definedName>
    <definedName name="STAX3">'idls10'!$K$182</definedName>
    <definedName name="STAX4">'idls10'!$K$183</definedName>
    <definedName name="STAX5">'idls10'!$K$184</definedName>
    <definedName name="STAX6">'idls10'!$K$185</definedName>
    <definedName name="STE">'idls10'!$D$14</definedName>
    <definedName name="STG1">'idls10'!$K$132</definedName>
    <definedName name="STG2">'idls10'!$K$133</definedName>
    <definedName name="STG3">'idls10'!$K$134</definedName>
    <definedName name="STG4">'idls10'!$K$135</definedName>
    <definedName name="STG5">'idls10'!$K$136</definedName>
    <definedName name="STG6">'idls10'!$K$137</definedName>
    <definedName name="STM">'idls10'!$B$14</definedName>
    <definedName name="STXTBLH1">'idls10'!$AJ$45:$AL$55</definedName>
    <definedName name="STXTBLM1">'idls10'!$AJ$31:$AL$41</definedName>
    <definedName name="STXTBLS1">'idls10'!$AJ$17:$AL$27</definedName>
    <definedName name="Supple_Gross_Net">'idls10'!$B$32</definedName>
    <definedName name="Tax_Charts">'idls10'!$D$11</definedName>
    <definedName name="TCRM1">'idls10'!$AL$61</definedName>
    <definedName name="TCRM2">'idls10'!$AM$61</definedName>
    <definedName name="TCRM3">'idls10'!$AN$61</definedName>
    <definedName name="TCRS1">'idls10'!$AL$60</definedName>
    <definedName name="TCRS2">'idls10'!$AM$60</definedName>
    <definedName name="TCRS3">'idls10'!$AN$60</definedName>
    <definedName name="TG1">'idls10'!$K$48</definedName>
    <definedName name="TG2">'idls10'!$K$49</definedName>
    <definedName name="TG3">'idls10'!$K$50</definedName>
    <definedName name="TG4">'idls10'!$K$51</definedName>
    <definedName name="TG5">'idls10'!$K$52</definedName>
    <definedName name="TG6">'idls10'!$K$53</definedName>
    <definedName name="Time_Base">'idls10'!$B$6</definedName>
    <definedName name="Time_Base_Hrs">'idls10'!$N$17</definedName>
    <definedName name="TxChart_code">'idls10'!$P$14</definedName>
    <definedName name="TXCRB">'idls10'!$K$126</definedName>
    <definedName name="TXCREDIT">'idls10'!$K$129</definedName>
    <definedName name="TXCROV">'idls10'!$K$127</definedName>
    <definedName name="TXCRR">'idls10'!$K$128</definedName>
    <definedName name="VOLDEDS">'idls10'!$B$21</definedName>
    <definedName name="Withhold_Factor">'idls10'!$T$50</definedName>
    <definedName name="WORK">'idls10'!$J$1:$V$162</definedName>
  </definedNames>
  <calcPr fullCalcOnLoad="1"/>
</workbook>
</file>

<file path=xl/sharedStrings.xml><?xml version="1.0" encoding="utf-8"?>
<sst xmlns="http://schemas.openxmlformats.org/spreadsheetml/2006/main" count="1194" uniqueCount="623">
  <si>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</si>
  <si>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</si>
  <si>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</si>
  <si>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</si>
  <si>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</si>
  <si>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</si>
  <si>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</si>
  <si>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</si>
  <si>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</si>
  <si>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</si>
  <si>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</si>
  <si>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</si>
  <si>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</si>
  <si>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</si>
  <si>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</si>
  <si>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</si>
  <si>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</si>
  <si>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</si>
  <si>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</si>
  <si>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</si>
  <si>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</si>
  <si>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</si>
  <si>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</si>
  <si>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</si>
  <si>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</si>
  <si>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</si>
  <si>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</si>
  <si>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</si>
  <si>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</si>
  <si>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</si>
  <si>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</si>
  <si>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</si>
  <si>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</si>
  <si>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</si>
  <si>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</si>
  <si>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</si>
  <si>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</si>
  <si>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</si>
  <si>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</si>
  <si>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</si>
  <si>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</si>
  <si>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</si>
  <si>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</si>
  <si>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</si>
  <si>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</si>
  <si>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</si>
  <si>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</si>
  <si>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</si>
  <si>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</si>
  <si>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</si>
  <si>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</si>
  <si>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</si>
  <si>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</si>
  <si>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</si>
  <si>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</si>
  <si>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</si>
  <si>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</si>
  <si>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</si>
  <si>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</si>
  <si>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</si>
  <si>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</si>
  <si>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</si>
  <si>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</si>
  <si>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</si>
  <si>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</si>
  <si>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</si>
  <si>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</si>
  <si>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</si>
  <si>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</si>
  <si>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</si>
  <si>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</si>
  <si>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</si>
  <si>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</si>
  <si>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</si>
  <si>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</si>
  <si>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</si>
  <si>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</si>
  <si>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</si>
  <si>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</si>
  <si>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</si>
  <si>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</si>
  <si>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</si>
  <si>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</si>
  <si>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</si>
  <si>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</si>
  <si>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</si>
  <si>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</si>
  <si>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</si>
  <si>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</si>
  <si>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</si>
  <si>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</si>
  <si>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</si>
  <si>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</si>
  <si>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</si>
  <si>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</si>
  <si>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</si>
  <si>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</si>
  <si>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</si>
  <si>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</si>
  <si>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</si>
  <si>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</si>
  <si>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</si>
  <si>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</si>
  <si>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</si>
  <si>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</si>
  <si>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</si>
  <si>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</si>
  <si>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</si>
  <si>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</si>
  <si>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</si>
  <si>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</si>
  <si>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</si>
  <si>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</si>
  <si>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</si>
  <si>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</si>
  <si>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</si>
  <si>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</si>
  <si>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</si>
  <si>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</si>
  <si>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</si>
  <si>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</si>
  <si>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</si>
  <si>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</si>
  <si>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</si>
  <si>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</si>
  <si>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</si>
  <si>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</si>
  <si>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</si>
  <si>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</si>
  <si>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</si>
  <si>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</si>
  <si>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</si>
  <si>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</si>
  <si>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</si>
  <si>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</si>
  <si>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</si>
  <si>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</si>
  <si>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</si>
  <si>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</si>
  <si>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</si>
  <si>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</si>
  <si>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</si>
  <si>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</si>
  <si>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</si>
  <si>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</si>
  <si>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</si>
  <si>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</si>
  <si>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</si>
  <si>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</si>
  <si>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</si>
  <si>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</si>
  <si>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</si>
  <si>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</si>
  <si>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</si>
  <si>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</si>
  <si>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</si>
  <si>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</si>
  <si>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</si>
  <si>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</si>
  <si>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</si>
  <si>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</si>
  <si>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</si>
  <si>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</si>
  <si>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</si>
  <si>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</si>
  <si>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</si>
  <si>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</si>
  <si>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</si>
  <si>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</si>
  <si>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</si>
  <si>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</si>
  <si>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</si>
  <si>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</si>
  <si>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</si>
  <si>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</si>
  <si>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</si>
  <si>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</si>
  <si>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</si>
  <si>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</si>
  <si>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</si>
  <si>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</si>
  <si>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</si>
  <si>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</si>
  <si>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</si>
  <si>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</si>
  <si>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</si>
  <si>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</si>
  <si>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</si>
  <si>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</si>
  <si>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</si>
  <si>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</si>
  <si>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</si>
  <si>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</si>
  <si>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</si>
  <si>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</si>
  <si>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</si>
  <si>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</si>
  <si>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</si>
  <si>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</si>
  <si>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</si>
  <si>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</si>
  <si>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</si>
  <si>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</si>
  <si>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</si>
  <si>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</si>
  <si>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</si>
  <si>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</si>
  <si>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</si>
  <si>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</si>
  <si>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</si>
  <si>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</si>
  <si>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</si>
  <si>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</si>
  <si>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</si>
  <si>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</si>
  <si>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</si>
  <si>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</si>
  <si>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</si>
  <si>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</si>
  <si>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</si>
  <si>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</si>
  <si>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</si>
  <si>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</si>
  <si>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</si>
  <si>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</si>
  <si>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</si>
  <si>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</si>
  <si>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</si>
  <si>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</si>
  <si>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</si>
  <si>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</si>
  <si>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</si>
  <si>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</si>
  <si>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</si>
  <si>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</si>
  <si>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</si>
  <si>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</si>
  <si>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</si>
  <si>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</si>
  <si>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</si>
  <si>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</si>
  <si>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</si>
  <si>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</si>
  <si>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</si>
  <si>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</si>
  <si>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</si>
  <si>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</si>
  <si>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</si>
  <si>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</si>
  <si>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</si>
  <si>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</si>
  <si>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</si>
  <si>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</si>
  <si>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</si>
  <si>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</si>
  <si>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</si>
  <si>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</si>
  <si>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</si>
  <si>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</si>
  <si>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</si>
  <si>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</si>
  <si>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</si>
  <si>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</si>
  <si>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</si>
  <si>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</si>
  <si>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</si>
  <si>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</si>
  <si>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</si>
  <si>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</si>
  <si>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</si>
  <si>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</si>
  <si>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</si>
  <si>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</si>
  <si>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</si>
  <si>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</si>
  <si>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</si>
  <si>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</si>
  <si>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</si>
  <si>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</si>
  <si>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</si>
  <si>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</si>
  <si>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</si>
  <si>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</si>
  <si>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</si>
  <si>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</si>
  <si>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</si>
  <si>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</si>
  <si>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</si>
  <si>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</si>
  <si>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</si>
  <si>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</si>
  <si>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</si>
  <si>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</si>
  <si>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</si>
  <si>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</si>
  <si>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</si>
  <si>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</si>
  <si>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</si>
  <si>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</si>
  <si>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</si>
  <si>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</si>
  <si>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</si>
  <si>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</si>
  <si>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</si>
  <si>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</si>
  <si>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</si>
  <si>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</si>
  <si>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</si>
  <si>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</si>
  <si>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</si>
  <si>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</si>
  <si>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</si>
  <si>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</si>
  <si>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</si>
  <si>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</si>
  <si>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</si>
  <si>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</si>
  <si>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</si>
  <si>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</si>
  <si>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</si>
  <si>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</si>
  <si>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</si>
  <si>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</si>
  <si>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</si>
  <si>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</si>
  <si>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</si>
  <si>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</si>
  <si>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</si>
  <si>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</si>
  <si>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</si>
  <si>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</si>
  <si>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</si>
  <si>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</si>
  <si>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</si>
  <si>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</si>
  <si>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</si>
  <si>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</si>
  <si>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</si>
  <si>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</si>
  <si>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</si>
  <si>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</si>
  <si>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</si>
  <si>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</si>
  <si>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</si>
  <si>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</si>
  <si>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</si>
  <si>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</si>
  <si>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</si>
  <si>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</si>
  <si>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</si>
  <si>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</si>
  <si>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</si>
  <si>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</si>
  <si>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</si>
  <si>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</si>
  <si>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</si>
  <si>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</si>
  <si>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</si>
  <si>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</si>
  <si>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</si>
  <si>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</si>
  <si>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</si>
  <si>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</si>
  <si>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</si>
  <si>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</si>
  <si>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</si>
  <si>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</si>
  <si>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</si>
  <si>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</si>
  <si>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</si>
  <si>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</si>
  <si>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</si>
  <si>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</si>
  <si>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</si>
  <si>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</si>
  <si>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</si>
  <si>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</si>
  <si>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</si>
  <si>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</si>
  <si>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</si>
  <si>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</si>
  <si>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</si>
  <si>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</si>
  <si>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</si>
  <si>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</si>
  <si>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</si>
  <si>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</si>
  <si>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</si>
  <si>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</si>
  <si>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</si>
  <si>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</si>
  <si>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</si>
  <si>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</si>
  <si>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</si>
  <si>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</si>
  <si>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</si>
  <si>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</si>
  <si>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</si>
  <si>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</si>
  <si>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</si>
  <si>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</si>
  <si>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</si>
  <si>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</si>
  <si>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</si>
  <si>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</si>
  <si>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</si>
  <si>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</si>
  <si>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</si>
  <si>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</si>
  <si>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</si>
  <si>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</si>
  <si>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</si>
  <si>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</si>
  <si>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</si>
  <si>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</si>
  <si>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</si>
  <si>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</si>
  <si>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</si>
  <si>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</si>
  <si>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</si>
  <si>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</si>
  <si>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</si>
  <si>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</si>
  <si>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</si>
  <si>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</si>
  <si>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</si>
  <si>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</si>
  <si>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</si>
  <si>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</si>
  <si>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</si>
  <si>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</si>
  <si>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</si>
  <si>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</si>
  <si>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</si>
  <si>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</si>
  <si>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</si>
  <si>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</si>
  <si>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</si>
  <si>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</si>
  <si>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</si>
  <si>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</si>
  <si>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</si>
  <si>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</si>
  <si>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</si>
  <si>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</si>
  <si>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</si>
  <si>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</si>
  <si>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</si>
  <si>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</si>
  <si>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</si>
  <si>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</si>
  <si>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</si>
  <si>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</si>
  <si>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</si>
  <si>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</si>
  <si>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</si>
  <si>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</si>
  <si>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</si>
  <si>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</si>
  <si>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</si>
  <si>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</si>
  <si>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</si>
  <si>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</si>
  <si>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</si>
  <si>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</si>
  <si>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</si>
  <si>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</si>
  <si>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</si>
  <si>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</si>
  <si>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</si>
  <si>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</si>
  <si>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</si>
  <si>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</si>
  <si>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</si>
  <si>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</si>
  <si>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</si>
  <si>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</si>
  <si>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</si>
  <si>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</si>
  <si>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</si>
  <si>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</si>
  <si>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</si>
  <si>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</si>
  <si>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</si>
  <si>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</si>
  <si>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</si>
  <si>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</si>
  <si>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</si>
  <si>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</si>
  <si>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</si>
  <si>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</si>
  <si>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</si>
  <si>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</si>
  <si>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</si>
  <si>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</si>
  <si>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</si>
  <si>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</si>
  <si>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</si>
  <si>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</si>
  <si>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</si>
  <si>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</si>
  <si>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</si>
  <si>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</si>
  <si>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</si>
  <si>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</si>
  <si>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</si>
  <si>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</si>
  <si>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</si>
  <si>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</si>
  <si>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</si>
  <si>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</si>
  <si>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</si>
  <si>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</si>
  <si>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</si>
  <si>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</si>
  <si>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</si>
  <si>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</si>
  <si>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</si>
  <si>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</si>
  <si>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</si>
  <si>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</si>
  <si>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</si>
  <si>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</si>
  <si>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</si>
  <si>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</si>
  <si>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</si>
  <si>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</si>
  <si>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</si>
  <si>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</si>
  <si>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</si>
  <si>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</si>
  <si>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</si>
  <si>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</si>
  <si>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</si>
  <si>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</si>
  <si>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</si>
  <si>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</si>
  <si>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</si>
  <si>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</si>
  <si>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</si>
  <si>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</si>
  <si>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</si>
  <si>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SPECIAL RETIRE INFO 11/2/10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</si>
  <si>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</si>
  <si>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</si>
  <si>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</si>
  <si>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</si>
  <si>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</si>
  <si>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Taxes Effeictive 1/1/11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</si>
  <si>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</si>
  <si>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</si>
  <si>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</si>
  <si>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</si>
  <si>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</si>
  <si>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</si>
  <si>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</si>
  <si>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</si>
  <si>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</si>
  <si>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</si>
  <si>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</si>
  <si>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</si>
  <si>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</si>
  <si>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</si>
  <si>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</si>
  <si>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</si>
  <si>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</si>
  <si>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</si>
  <si>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</si>
  <si>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</si>
  <si>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</si>
  <si>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</si>
  <si>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</si>
  <si>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</si>
  <si>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</si>
  <si>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</si>
  <si>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</si>
  <si>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</si>
  <si>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</si>
  <si>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</si>
  <si>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</si>
  <si>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</si>
  <si>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</si>
  <si>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</si>
  <si>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</si>
  <si>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</si>
  <si>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</si>
  <si>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</si>
  <si>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</si>
  <si>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</si>
  <si>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</si>
  <si>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</si>
  <si>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</si>
  <si>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</si>
  <si>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</si>
  <si>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</si>
  <si>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</si>
  <si>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</si>
  <si>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</si>
  <si>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</si>
  <si>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</si>
  <si>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</si>
  <si>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</si>
  <si>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</si>
  <si>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EFF. 6/1/11</t>
  </si>
  <si>
    <t>CALIFORNIA STATE CONTROLLER'S OFFICE IDL SUPPLEMENTATION CALCULATOR-2011 (EFF. 6/1/11)</t>
  </si>
  <si>
    <t>rev. 8/06/12 11:00 AM</t>
  </si>
  <si>
    <t>2O</t>
  </si>
  <si>
    <t>r13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</si>
  <si>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</si>
  <si>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</si>
  <si>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 xml:space="preserve">Government Code 19871 for federal tax purposes.  If the employee claims exempt from federal taxes, </t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</si>
  <si>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</si>
  <si>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</si>
  <si>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Code 19871 for state tax purposes.  (NOTE: This calculates only the California state tax).  "S" for 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</si>
  <si>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</si>
  <si>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 </t>
    </r>
  </si>
  <si>
    <t xml:space="preserve">day of injury per Government Code 19871 for state tax purposes.  If the employee claims exempt from 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</si>
  <si>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</si>
  <si>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</si>
  <si>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</si>
  <si>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</si>
  <si>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</si>
  <si>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t xml:space="preserve">Code 19871 for federal tax purposes. "S" for single/head of household; "M" for married.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</si>
</sst>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57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604</v>
      </c>
      <c r="B1" s="12"/>
      <c r="C1" s="12"/>
      <c r="D1" s="12"/>
      <c r="E1" s="12"/>
      <c r="F1" s="12"/>
      <c r="J1" s="182" t="s">
        <v>305</v>
      </c>
      <c r="K1" s="182"/>
      <c r="L1" s="13"/>
      <c r="M1" s="14" t="s">
        <v>313</v>
      </c>
      <c r="N1" s="14">
        <f>Reg_Net_Grs+IDL_Full</f>
        <v>0</v>
      </c>
      <c r="P1" s="15" t="s">
        <v>317</v>
      </c>
      <c r="Q1" s="14">
        <f>IF(G3="H",Salary_Rate,IF(ISBLANK(Time_Base),Salary_Rate,(Salary_Rate/RIGHT(Time_Base,3))*LEFT(Time_Base,3)))</f>
        <v>4000</v>
      </c>
      <c r="R1" s="14" t="s">
        <v>276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603</v>
      </c>
      <c r="H2" s="17"/>
      <c r="J2" s="7" t="s">
        <v>195</v>
      </c>
      <c r="K2" s="14">
        <f>ROUND(SUM(K3:K5),2)</f>
        <v>4000</v>
      </c>
      <c r="L2" s="18"/>
      <c r="M2" s="14" t="s">
        <v>280</v>
      </c>
      <c r="N2" s="14">
        <f>N24+N7</f>
        <v>-513</v>
      </c>
      <c r="P2" s="14" t="s">
        <v>187</v>
      </c>
      <c r="R2" s="14" t="s">
        <v>277</v>
      </c>
      <c r="S2" s="14" t="str">
        <f>VLOOKUP(CAT,RETID_TABLE,4)</f>
        <v>S</v>
      </c>
      <c r="T2" s="9" t="s">
        <v>5</v>
      </c>
      <c r="U2" s="19">
        <f>IF(S2="M",MD_,IF(S2="s",MD_,0))</f>
        <v>0.0145</v>
      </c>
      <c r="V2" s="7">
        <v>0.042</v>
      </c>
      <c r="W2" s="7">
        <v>0.0145</v>
      </c>
      <c r="X2" s="83">
        <v>0.012</v>
      </c>
      <c r="Z2" s="21" t="s">
        <v>206</v>
      </c>
      <c r="AA2" s="13" t="s">
        <v>207</v>
      </c>
      <c r="AB2" s="7" t="s">
        <v>13</v>
      </c>
      <c r="AC2" s="9" t="s">
        <v>306</v>
      </c>
      <c r="AF2" s="20">
        <v>3700</v>
      </c>
      <c r="AK2" s="9" t="s">
        <v>6</v>
      </c>
      <c r="AP2" s="9"/>
    </row>
    <row r="3" spans="1:42" ht="12.75">
      <c r="A3" s="21" t="s">
        <v>167</v>
      </c>
      <c r="B3" s="22">
        <v>4000</v>
      </c>
      <c r="C3" s="21" t="s">
        <v>364</v>
      </c>
      <c r="D3" s="23"/>
      <c r="E3" s="24"/>
      <c r="F3" s="21" t="s">
        <v>342</v>
      </c>
      <c r="G3" s="25" t="s">
        <v>159</v>
      </c>
      <c r="H3" s="26" t="s">
        <v>402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0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278</v>
      </c>
      <c r="S3" s="14">
        <f>VLOOKUP(CAT,RETID_TABLE,2)</f>
        <v>513</v>
      </c>
      <c r="T3" s="9" t="s">
        <v>7</v>
      </c>
      <c r="U3" s="20">
        <f>ROUND(Gross_Net*MED_,2)</f>
        <v>58</v>
      </c>
      <c r="V3" s="7">
        <v>0</v>
      </c>
      <c r="W3" s="7">
        <v>0</v>
      </c>
      <c r="Z3" s="21">
        <v>0</v>
      </c>
      <c r="AA3" s="174">
        <v>317</v>
      </c>
      <c r="AB3" s="174">
        <v>0.06</v>
      </c>
      <c r="AC3" s="174" t="s">
        <v>208</v>
      </c>
      <c r="AD3" s="9" t="s">
        <v>4</v>
      </c>
      <c r="AF3" s="29" t="s">
        <v>548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607</v>
      </c>
      <c r="C4" s="10" t="s">
        <v>341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281</v>
      </c>
      <c r="R4" s="14" t="s">
        <v>279</v>
      </c>
      <c r="S4" s="14">
        <f>IF(OR(W24=1,W25=1),VLOOKUP(CAT,Ret_Sp_110210,3),IF(OR(W14=1,W15=1),0.1,IF(OR(W17=1,W18=1,W19=1,W20=1,W21=1,W22=1,W23=1),VLOOKUP(CAT,Ret_Sp_110210,3),VLOOKUP(CAT,RETID_TABLE,3))))</f>
        <v>0.125</v>
      </c>
      <c r="T4" s="9" t="s">
        <v>8</v>
      </c>
      <c r="U4" s="19">
        <f>IF(S2="S",OA_,0)</f>
        <v>0.042</v>
      </c>
      <c r="V4" s="7" t="s">
        <v>4</v>
      </c>
      <c r="W4" s="7" t="s">
        <v>4</v>
      </c>
      <c r="Z4" s="21">
        <v>1</v>
      </c>
      <c r="AA4" s="174">
        <v>0</v>
      </c>
      <c r="AB4" s="174">
        <v>0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401</v>
      </c>
      <c r="B5" s="35" t="s">
        <v>159</v>
      </c>
      <c r="C5" s="21" t="s">
        <v>358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4000</v>
      </c>
      <c r="L5" s="40"/>
      <c r="M5" s="14">
        <f>ROUND(Reg_Net_Grs*MED_,2)</f>
        <v>0</v>
      </c>
      <c r="N5" s="14" t="s">
        <v>7</v>
      </c>
      <c r="P5" s="14">
        <f>IF(IDL_Full=0,0,ROUND(M14-FTAX2,2))</f>
        <v>0</v>
      </c>
      <c r="Q5" s="14" t="s">
        <v>282</v>
      </c>
      <c r="R5" s="14" t="s">
        <v>360</v>
      </c>
      <c r="S5" s="14">
        <f>Semi_PP_Days*Time_Base_Hrs</f>
        <v>0</v>
      </c>
      <c r="T5" s="9" t="s">
        <v>10</v>
      </c>
      <c r="U5" s="20">
        <f>ROUND(Gross_Net*OASDI_,2)</f>
        <v>168</v>
      </c>
      <c r="V5" s="41" t="s">
        <v>11</v>
      </c>
      <c r="W5" s="9"/>
      <c r="X5" s="85" t="s">
        <v>533</v>
      </c>
      <c r="Y5" s="9"/>
      <c r="Z5" s="21">
        <v>2</v>
      </c>
      <c r="AA5" s="174">
        <v>0</v>
      </c>
      <c r="AB5" s="174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352</v>
      </c>
      <c r="D6" s="23">
        <v>0</v>
      </c>
      <c r="E6" s="10" t="s">
        <v>353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283</v>
      </c>
      <c r="R6" s="14" t="s">
        <v>508</v>
      </c>
      <c r="S6" s="155" t="str">
        <f>VLOOKUP(CAT,RETID_TABLE,1)</f>
        <v>2O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534</v>
      </c>
      <c r="Y6" s="20" t="s">
        <v>535</v>
      </c>
      <c r="Z6" s="21">
        <v>3</v>
      </c>
      <c r="AA6" s="174">
        <v>0</v>
      </c>
      <c r="AB6" s="174">
        <v>0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22.72727</v>
      </c>
      <c r="M7" s="49" t="s">
        <v>187</v>
      </c>
      <c r="N7" s="49">
        <f>N22-S3</f>
        <v>-513</v>
      </c>
      <c r="P7" s="15">
        <f>IF(IDL_Full=0,0,ROUND(M16-Reg_SDI,2))</f>
        <v>0</v>
      </c>
      <c r="Q7" s="14" t="s">
        <v>160</v>
      </c>
      <c r="R7" s="14" t="s">
        <v>304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11/02/2010 Retirement Info per Personnel Ltr 10_xxx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74">
        <v>0</v>
      </c>
      <c r="AC7" s="174" t="s">
        <v>209</v>
      </c>
      <c r="AD7" s="9" t="s">
        <v>4</v>
      </c>
      <c r="AF7" s="20">
        <v>2100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606</v>
      </c>
      <c r="C8" s="21" t="s">
        <v>172</v>
      </c>
      <c r="D8" s="51">
        <v>6</v>
      </c>
      <c r="E8" s="149" t="s">
        <v>361</v>
      </c>
      <c r="F8" s="51">
        <v>11</v>
      </c>
      <c r="H8" s="52"/>
      <c r="J8" s="7" t="s">
        <v>198</v>
      </c>
      <c r="K8" s="48">
        <f>IF(Salary_Per="H",ROUND(Red_Sal_Rate,5),ROUND(Red_Sal_Rate2/K6,5))</f>
        <v>22.72727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284</v>
      </c>
      <c r="R8" s="14" t="s">
        <v>302</v>
      </c>
      <c r="S8" s="15">
        <f>Full_Net-(SUM(C30:F30))</f>
        <v>673.9299999999998</v>
      </c>
      <c r="U8" s="7">
        <v>513</v>
      </c>
      <c r="V8" s="7">
        <v>0.05</v>
      </c>
      <c r="Y8" s="20"/>
      <c r="Z8" s="21">
        <v>5</v>
      </c>
      <c r="AA8" s="174">
        <v>513</v>
      </c>
      <c r="AB8" s="174">
        <v>0.095</v>
      </c>
      <c r="AC8" s="174" t="s">
        <v>209</v>
      </c>
      <c r="AD8" s="9" t="s">
        <v>4</v>
      </c>
      <c r="AF8" s="20">
        <v>10600</v>
      </c>
      <c r="AG8" s="20">
        <v>0.15</v>
      </c>
      <c r="AH8" s="20">
        <v>850</v>
      </c>
      <c r="AI8" s="20"/>
      <c r="AJ8" s="53">
        <v>12182</v>
      </c>
      <c r="AK8" s="53">
        <v>12182</v>
      </c>
      <c r="AL8" s="53">
        <v>24364</v>
      </c>
      <c r="AM8" s="53">
        <v>24364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398</v>
      </c>
      <c r="D9" s="55" t="s">
        <v>362</v>
      </c>
      <c r="E9" s="56"/>
      <c r="F9" s="57" t="s">
        <v>363</v>
      </c>
      <c r="G9" s="56"/>
      <c r="H9" s="26"/>
      <c r="J9" s="7" t="s">
        <v>200</v>
      </c>
      <c r="K9" s="14">
        <f>(Reg_Days*Time_Base_Hrs)+C18</f>
        <v>0</v>
      </c>
      <c r="M9" s="14" t="s">
        <v>188</v>
      </c>
      <c r="N9" s="14">
        <f>N2*EPMC_P</f>
        <v>-64.125</v>
      </c>
      <c r="P9" s="14">
        <f>IF(IDL_Full=0,0,ROUND(IDL_Full-P8,2))</f>
        <v>0</v>
      </c>
      <c r="Q9" s="14" t="s">
        <v>285</v>
      </c>
      <c r="R9" s="14" t="s">
        <v>303</v>
      </c>
      <c r="S9" s="15">
        <f>Supple_Gross_Net/Divided_By</f>
        <v>1073.9920318725099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74">
        <v>0</v>
      </c>
      <c r="AC9" s="174" t="s">
        <v>159</v>
      </c>
      <c r="AD9" s="9" t="s">
        <v>4</v>
      </c>
      <c r="AF9" s="20">
        <v>36600</v>
      </c>
      <c r="AG9" s="20">
        <v>0.25</v>
      </c>
      <c r="AH9" s="20">
        <v>4750</v>
      </c>
      <c r="AI9" s="20"/>
    </row>
    <row r="10" spans="1:41" ht="12.75">
      <c r="A10" s="41" t="s">
        <v>375</v>
      </c>
      <c r="B10" s="58"/>
      <c r="C10" s="10"/>
      <c r="D10" s="59">
        <f>IF(TxChart_code=1,R14,R15)</f>
        <v>39082</v>
      </c>
      <c r="E10" s="7" t="s">
        <v>354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435.88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47</v>
      </c>
      <c r="T10" s="20"/>
      <c r="U10" s="7">
        <v>238</v>
      </c>
      <c r="V10" s="7">
        <v>0.08</v>
      </c>
      <c r="Y10" s="20"/>
      <c r="Z10" s="21">
        <v>7</v>
      </c>
      <c r="AA10" s="174">
        <v>513</v>
      </c>
      <c r="AB10" s="174">
        <v>0.125</v>
      </c>
      <c r="AC10" s="174" t="s">
        <v>209</v>
      </c>
      <c r="AD10" s="9" t="s">
        <v>4</v>
      </c>
      <c r="AF10" s="20">
        <v>85700</v>
      </c>
      <c r="AG10" s="20">
        <v>0.28</v>
      </c>
      <c r="AH10" s="20">
        <v>17025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39082</v>
      </c>
      <c r="E11" s="7" t="s">
        <v>355</v>
      </c>
      <c r="H11" s="26"/>
      <c r="J11" s="7" t="s">
        <v>202</v>
      </c>
      <c r="K11" s="14">
        <f>(IDL_23_Days*Time_Base_Hrs)+C20</f>
        <v>176</v>
      </c>
      <c r="M11" s="14">
        <f>IF(IDL_Full=0,0,Reg_EPMC+M8)</f>
        <v>0</v>
      </c>
      <c r="N11" s="14" t="s">
        <v>383</v>
      </c>
      <c r="P11" s="14">
        <f>ROUND((IDL_2_3/3)*2,2)</f>
        <v>2666.67</v>
      </c>
      <c r="Q11" s="14" t="s">
        <v>316</v>
      </c>
      <c r="R11" s="14" t="s">
        <v>180</v>
      </c>
      <c r="S11" s="14">
        <f>IF(Salary_Per="H",0,ROUNDDOWN(S10/Time_Base_Hrs,0))</f>
        <v>5</v>
      </c>
      <c r="T11" s="19"/>
      <c r="U11" s="7">
        <v>863</v>
      </c>
      <c r="V11" s="7">
        <v>0.075</v>
      </c>
      <c r="W11" s="7" t="s">
        <v>510</v>
      </c>
      <c r="Y11" s="20"/>
      <c r="Z11" s="21">
        <v>8</v>
      </c>
      <c r="AA11" s="174">
        <v>513</v>
      </c>
      <c r="AB11" s="174">
        <v>0.05</v>
      </c>
      <c r="AC11" s="174" t="s">
        <v>209</v>
      </c>
      <c r="AD11" s="9" t="s">
        <v>4</v>
      </c>
      <c r="AF11" s="20">
        <v>176500</v>
      </c>
      <c r="AG11" s="61">
        <v>0.33</v>
      </c>
      <c r="AH11" s="20">
        <v>42449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11/02/2010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384</v>
      </c>
      <c r="P12" s="15" t="s">
        <v>389</v>
      </c>
      <c r="R12" s="14" t="s">
        <v>181</v>
      </c>
      <c r="S12" s="14">
        <f>IF(Salary_Per="H",S10,S10-(S11*Time_Base_Hrs))</f>
        <v>7</v>
      </c>
      <c r="T12" s="19"/>
      <c r="U12" s="7" t="s">
        <v>509</v>
      </c>
      <c r="V12" s="176" t="str">
        <f>IF(AND(D8=12,F8=9),D8&amp;"/01/200"&amp;F8,IF(LEN(D8)=1,"0"&amp;D8&amp;"/01/20"&amp;F8,D8&amp;"/01/20"&amp;F8))</f>
        <v>06/01/2011</v>
      </c>
      <c r="W12" s="177">
        <f>DATEVALUE(V12)</f>
        <v>39233</v>
      </c>
      <c r="X12" s="83">
        <f>LEN(D8)</f>
        <v>1</v>
      </c>
      <c r="Y12" s="20"/>
      <c r="Z12" s="21">
        <v>9</v>
      </c>
      <c r="AA12" s="174">
        <v>513</v>
      </c>
      <c r="AB12" s="174">
        <v>0.095</v>
      </c>
      <c r="AC12" s="174" t="s">
        <v>209</v>
      </c>
      <c r="AD12" s="9" t="s">
        <v>4</v>
      </c>
      <c r="AF12" s="20">
        <v>381250</v>
      </c>
      <c r="AG12" s="61">
        <v>0.35</v>
      </c>
      <c r="AH12" s="20">
        <v>110016.5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349</v>
      </c>
      <c r="D13" s="63">
        <v>0</v>
      </c>
      <c r="E13" s="10" t="s">
        <v>175</v>
      </c>
      <c r="H13" s="26"/>
      <c r="J13" s="9" t="s">
        <v>22</v>
      </c>
      <c r="K13" s="14">
        <f>+S4+V16</f>
        <v>0.125</v>
      </c>
      <c r="L13" s="64"/>
      <c r="M13" s="14">
        <f>IF(IDL_Full=0,0,ROUND((Reg_Net_Grs+IDL_Full)*MED_,2))</f>
        <v>0</v>
      </c>
      <c r="N13" s="14" t="s">
        <v>385</v>
      </c>
      <c r="P13" s="65">
        <f>S18</f>
        <v>39082</v>
      </c>
      <c r="Q13" s="14" t="s">
        <v>314</v>
      </c>
      <c r="R13" s="66">
        <f>+P13</f>
        <v>39082</v>
      </c>
      <c r="S13" s="14" t="s">
        <v>390</v>
      </c>
      <c r="T13" s="19"/>
      <c r="U13" s="7" t="s">
        <v>34</v>
      </c>
      <c r="W13" s="7" t="s">
        <v>511</v>
      </c>
      <c r="X13" s="83">
        <v>38960</v>
      </c>
      <c r="Y13" s="20"/>
      <c r="Z13" s="21">
        <v>10</v>
      </c>
      <c r="AA13" s="174">
        <v>317</v>
      </c>
      <c r="AB13" s="174">
        <v>0.06</v>
      </c>
      <c r="AC13" s="174" t="s">
        <v>208</v>
      </c>
      <c r="AD13" s="9" t="s">
        <v>4</v>
      </c>
      <c r="AF13" s="20"/>
      <c r="AG13" s="20"/>
      <c r="AH13" s="20"/>
      <c r="AI13" s="20"/>
      <c r="AJ13" s="53">
        <v>3670</v>
      </c>
      <c r="AK13" s="53">
        <v>3670</v>
      </c>
      <c r="AL13" s="53">
        <v>7340</v>
      </c>
      <c r="AM13" s="53">
        <v>7340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359</v>
      </c>
      <c r="D14" s="63">
        <v>0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435.88</v>
      </c>
      <c r="L14" s="68"/>
      <c r="M14" s="14">
        <f>FTAX3</f>
        <v>0</v>
      </c>
      <c r="N14" s="14" t="s">
        <v>386</v>
      </c>
      <c r="P14" s="65">
        <f>IF(S18=39082,1,"")</f>
        <v>1</v>
      </c>
      <c r="Q14" s="14" t="s">
        <v>315</v>
      </c>
      <c r="R14" s="66">
        <v>39082</v>
      </c>
      <c r="S14" s="66">
        <v>39082</v>
      </c>
      <c r="T14" s="19" t="s">
        <v>351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512</v>
      </c>
      <c r="Z14" s="21">
        <v>11</v>
      </c>
      <c r="AA14" s="174">
        <v>317</v>
      </c>
      <c r="AB14" s="174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350</v>
      </c>
      <c r="D15" s="51">
        <v>7</v>
      </c>
      <c r="E15" s="149">
        <v>1</v>
      </c>
      <c r="F15" s="51">
        <v>11</v>
      </c>
      <c r="G15" s="9" t="s">
        <v>21</v>
      </c>
      <c r="H15" s="67"/>
      <c r="J15" s="9" t="s">
        <v>28</v>
      </c>
      <c r="K15" s="14">
        <f>ROUND(Salary_Rate+Reg_Days-IDL_Full_Days,2)</f>
        <v>4000</v>
      </c>
      <c r="L15" s="71"/>
      <c r="M15" s="14">
        <f>STAX3</f>
        <v>0</v>
      </c>
      <c r="N15" s="14" t="s">
        <v>387</v>
      </c>
      <c r="O15" s="28"/>
      <c r="P15" s="28" t="s">
        <v>357</v>
      </c>
      <c r="Q15" s="28" t="s">
        <v>439</v>
      </c>
      <c r="R15" s="66"/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0</v>
      </c>
      <c r="X15" s="85" t="s">
        <v>513</v>
      </c>
      <c r="Y15" s="9"/>
      <c r="Z15" s="21">
        <v>12</v>
      </c>
      <c r="AA15" s="174">
        <v>317</v>
      </c>
      <c r="AB15" s="174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362</v>
      </c>
      <c r="E16" s="56"/>
      <c r="F16" s="57" t="s">
        <v>363</v>
      </c>
      <c r="G16" s="9"/>
      <c r="H16" s="67"/>
      <c r="J16" s="9" t="s">
        <v>29</v>
      </c>
      <c r="K16" s="14">
        <f>ROUND(Salary_Rate+Reg_Days-IDL_Full_Days,2)</f>
        <v>4000</v>
      </c>
      <c r="L16" s="71"/>
      <c r="M16" s="14">
        <f>IF(OR(IDL_Full=0,SDI="NO"),0,(ROUND((Reg_Net_Grs+IDL_Full)*X2,2)))</f>
        <v>0</v>
      </c>
      <c r="N16" s="14" t="s">
        <v>388</v>
      </c>
      <c r="P16" s="74" t="s">
        <v>356</v>
      </c>
      <c r="R16" s="66"/>
      <c r="S16" s="69"/>
      <c r="T16" s="19"/>
      <c r="U16" s="75" t="s">
        <v>154</v>
      </c>
      <c r="V16" s="76">
        <f>VLOOKUP(B4,U17:V40,2)</f>
        <v>0</v>
      </c>
      <c r="W16" s="7" t="s">
        <v>537</v>
      </c>
      <c r="X16" s="83">
        <v>39021</v>
      </c>
      <c r="Y16" s="9"/>
      <c r="Z16" s="21">
        <v>13</v>
      </c>
      <c r="AA16" s="174">
        <v>0</v>
      </c>
      <c r="AB16" s="174">
        <v>0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312</v>
      </c>
      <c r="N17" s="80">
        <f>IF(ISBLANK(Time_Base),8,8/RIGHT(B6,3)*LEFT(B6,3))</f>
        <v>8</v>
      </c>
      <c r="O17" s="44"/>
      <c r="P17" s="28" t="s">
        <v>438</v>
      </c>
      <c r="Q17" s="44"/>
      <c r="R17" s="66"/>
      <c r="S17" s="69"/>
      <c r="T17" s="19"/>
      <c r="U17" s="75" t="s">
        <v>318</v>
      </c>
      <c r="V17" s="181">
        <v>0</v>
      </c>
      <c r="W17" s="7">
        <f>IF(AND(CBID="U",CAT="4A",$W$12=39021),1,0)</f>
        <v>0</v>
      </c>
      <c r="X17" s="85" t="s">
        <v>536</v>
      </c>
      <c r="Y17" s="20"/>
      <c r="Z17" s="21">
        <v>14</v>
      </c>
      <c r="AA17" s="174">
        <v>0</v>
      </c>
      <c r="AB17" s="174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/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4000</v>
      </c>
      <c r="L18" s="87"/>
      <c r="M18" s="69" t="s">
        <v>379</v>
      </c>
      <c r="N18" s="83">
        <f>Reg_Net_Grs+IDL_Full+IDL_2_3</f>
        <v>4000</v>
      </c>
      <c r="O18" s="69"/>
      <c r="P18" s="65" t="s">
        <v>391</v>
      </c>
      <c r="Q18" s="69"/>
      <c r="R18" s="69" t="str">
        <f>IF(LEN(Iss_Mon_Yr)=2,R22,R21)</f>
        <v>07/01/2011</v>
      </c>
      <c r="S18" s="69">
        <f>+S14</f>
        <v>39082</v>
      </c>
      <c r="T18" s="83"/>
      <c r="U18" s="88" t="s">
        <v>329</v>
      </c>
      <c r="V18" s="181">
        <v>0</v>
      </c>
      <c r="W18" s="83">
        <f>IF(AND(CBID="U",CAT="5C",$W$12=39021),1,0)</f>
        <v>0</v>
      </c>
      <c r="X18" s="83" t="s">
        <v>543</v>
      </c>
      <c r="Y18" s="83"/>
      <c r="Z18" s="172">
        <v>15</v>
      </c>
      <c r="AA18" s="175">
        <v>238</v>
      </c>
      <c r="AB18" s="175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7124</v>
      </c>
      <c r="AK18" s="83">
        <v>0.022</v>
      </c>
      <c r="AL18" s="69">
        <v>78.36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435.88</v>
      </c>
      <c r="O19" s="86"/>
      <c r="P19" s="158" t="s">
        <v>441</v>
      </c>
      <c r="Q19" s="159">
        <v>38717</v>
      </c>
      <c r="R19" s="69" t="str">
        <f>Pay_Period&amp;"/01/"&amp;F8</f>
        <v>6/01/11</v>
      </c>
      <c r="S19" s="69" t="s">
        <v>399</v>
      </c>
      <c r="T19" s="83"/>
      <c r="U19" s="88" t="s">
        <v>320</v>
      </c>
      <c r="V19" s="181">
        <v>0</v>
      </c>
      <c r="W19" s="83">
        <f>IF(AND(CBID="U",CAT="5D",$W$12=39021),1,0)</f>
        <v>0</v>
      </c>
      <c r="X19" s="83" t="s">
        <v>544</v>
      </c>
      <c r="Y19" s="83"/>
      <c r="Z19" s="172">
        <v>16</v>
      </c>
      <c r="AA19" s="175">
        <v>238</v>
      </c>
      <c r="AB19" s="175">
        <v>0.06</v>
      </c>
      <c r="AC19" s="175" t="s">
        <v>208</v>
      </c>
      <c r="AD19" s="9" t="s">
        <v>4</v>
      </c>
      <c r="AE19" s="83"/>
      <c r="AF19" s="83">
        <v>7900</v>
      </c>
      <c r="AG19" s="83">
        <v>0.1</v>
      </c>
      <c r="AH19" s="83">
        <v>0</v>
      </c>
      <c r="AI19" s="83"/>
      <c r="AJ19" s="69">
        <v>16890</v>
      </c>
      <c r="AK19" s="83">
        <v>0.044</v>
      </c>
      <c r="AL19" s="69">
        <v>293.21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22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435</v>
      </c>
      <c r="N20" s="69">
        <f>IF(AND(G3="h",ISBLANK(Red_Sal_Rate)),Salary_Rate,IF(ISBLANK(Red_Sal_Rate),Org_Sal_Rate,IF(ISBLANK(Time_Base),Red_Sal_Rate,ROUND(Red_Sal_Rate/RIGHT(Time_Base,3)*LEFT(Time_Base,3),2))))</f>
        <v>4000</v>
      </c>
      <c r="O20" s="86"/>
      <c r="P20" s="158" t="s">
        <v>442</v>
      </c>
      <c r="Q20" s="159">
        <v>38748</v>
      </c>
      <c r="R20" s="69" t="str">
        <f>Iss_Mon_Yr&amp;"/01/"&amp;F15</f>
        <v>7/01/11</v>
      </c>
      <c r="S20" s="69" t="s">
        <v>400</v>
      </c>
      <c r="T20" s="83"/>
      <c r="U20" s="88" t="s">
        <v>321</v>
      </c>
      <c r="V20" s="181">
        <v>0</v>
      </c>
      <c r="W20" s="83">
        <f>IF(AND(CBID="U",CAT="5E",$W$12=39021),1,0)</f>
        <v>0</v>
      </c>
      <c r="X20" s="85" t="s">
        <v>538</v>
      </c>
      <c r="Y20" s="83"/>
      <c r="Z20" s="172">
        <v>17</v>
      </c>
      <c r="AA20" s="175">
        <v>317</v>
      </c>
      <c r="AB20" s="175">
        <v>0.06</v>
      </c>
      <c r="AC20" s="175" t="s">
        <v>159</v>
      </c>
      <c r="AD20" s="9" t="s">
        <v>4</v>
      </c>
      <c r="AE20" s="83"/>
      <c r="AF20" s="83">
        <v>24900</v>
      </c>
      <c r="AG20" s="83">
        <v>0.15</v>
      </c>
      <c r="AH20" s="83">
        <v>1700</v>
      </c>
      <c r="AI20" s="83"/>
      <c r="AJ20" s="69">
        <v>26657</v>
      </c>
      <c r="AK20" s="83">
        <v>0.066</v>
      </c>
      <c r="AL20" s="69">
        <v>722.96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605</v>
      </c>
      <c r="K21" s="86"/>
      <c r="L21" s="87"/>
      <c r="M21" s="14" t="s">
        <v>380</v>
      </c>
      <c r="N21" s="83">
        <f>Red_Sal_Rate2-D6</f>
        <v>4000</v>
      </c>
      <c r="O21" s="86"/>
      <c r="P21" s="145" t="s">
        <v>443</v>
      </c>
      <c r="Q21" s="159">
        <v>38776</v>
      </c>
      <c r="R21" s="69" t="str">
        <f>IF(AND(PayFreq="S",R19="5/01/2009",R20="5/01/2009"),"0"&amp;Iss_Mon_Yr&amp;"/15/20"&amp;F15,"0"&amp;Iss_Mon_Yr&amp;"/01/20"&amp;F15)</f>
        <v>07/01/2011</v>
      </c>
      <c r="S21" s="146" t="s">
        <v>436</v>
      </c>
      <c r="U21" s="75" t="s">
        <v>330</v>
      </c>
      <c r="V21" s="181">
        <v>0</v>
      </c>
      <c r="W21" s="7">
        <f>IF(AND(CBID="U",CAT="5F",$W$12=39021),1,0)</f>
        <v>0</v>
      </c>
      <c r="X21" s="85" t="s">
        <v>539</v>
      </c>
      <c r="Y21" s="20"/>
      <c r="Z21" s="21">
        <v>18</v>
      </c>
      <c r="AA21" s="174">
        <v>317</v>
      </c>
      <c r="AB21" s="174">
        <v>0.06</v>
      </c>
      <c r="AC21" s="174" t="s">
        <v>208</v>
      </c>
      <c r="AD21" s="9" t="s">
        <v>4</v>
      </c>
      <c r="AF21" s="20">
        <v>76900</v>
      </c>
      <c r="AG21" s="20">
        <v>0.25</v>
      </c>
      <c r="AH21" s="20">
        <v>9500</v>
      </c>
      <c r="AI21" s="20"/>
      <c r="AJ21" s="14">
        <v>37005</v>
      </c>
      <c r="AK21" s="171">
        <v>0.088</v>
      </c>
      <c r="AL21" s="14">
        <v>1405.93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381</v>
      </c>
      <c r="N22" s="69">
        <f>IF(Salary_Per="H",N21*K9,IF(ISBLANK(Red_Sal_Rate),ROUND(((Q1-D6)/K6),5)*K9,ROUND((N21/K6),5)*K9))</f>
        <v>0</v>
      </c>
      <c r="O22" s="86"/>
      <c r="P22" s="145" t="s">
        <v>444</v>
      </c>
      <c r="Q22" s="159">
        <v>38807</v>
      </c>
      <c r="R22" s="69" t="str">
        <f>D15&amp;"/01/20"&amp;F15</f>
        <v>7/01/2011</v>
      </c>
      <c r="S22" s="146" t="s">
        <v>437</v>
      </c>
      <c r="U22" s="75" t="s">
        <v>331</v>
      </c>
      <c r="V22" s="181">
        <v>0</v>
      </c>
      <c r="W22" s="7">
        <f>IF(AND(CBID="U",CAT="5J",$W$12=39021),1,0)</f>
        <v>0</v>
      </c>
      <c r="X22" s="85" t="s">
        <v>540</v>
      </c>
      <c r="Y22" s="20"/>
      <c r="Z22" s="21">
        <v>19</v>
      </c>
      <c r="AA22" s="174">
        <v>317</v>
      </c>
      <c r="AB22" s="174">
        <v>0.105</v>
      </c>
      <c r="AC22" s="174" t="s">
        <v>159</v>
      </c>
      <c r="AD22" s="9" t="s">
        <v>4</v>
      </c>
      <c r="AF22" s="20">
        <v>147250</v>
      </c>
      <c r="AG22" s="20">
        <v>0.28</v>
      </c>
      <c r="AH22" s="20">
        <v>27087.5</v>
      </c>
      <c r="AI22" s="20"/>
      <c r="AJ22" s="14">
        <v>46766</v>
      </c>
      <c r="AK22" s="171">
        <v>0.1023</v>
      </c>
      <c r="AL22" s="14">
        <v>2264.9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4000</v>
      </c>
      <c r="C23" s="104">
        <f>Reg_Net_Grs</f>
        <v>0</v>
      </c>
      <c r="D23" s="105">
        <f>IDL_Grs</f>
        <v>0</v>
      </c>
      <c r="E23" s="106"/>
      <c r="F23" s="104">
        <f>IDL_23_Grs</f>
        <v>2666.67</v>
      </c>
      <c r="G23" s="100"/>
      <c r="H23" s="107"/>
      <c r="J23" s="163"/>
      <c r="K23" s="86"/>
      <c r="L23" s="87"/>
      <c r="M23" s="14" t="s">
        <v>382</v>
      </c>
      <c r="N23" s="83">
        <f>Org_Sal_Rate-D6</f>
        <v>4000</v>
      </c>
      <c r="O23" s="86"/>
      <c r="P23" s="145" t="s">
        <v>445</v>
      </c>
      <c r="Q23" s="159">
        <v>38837</v>
      </c>
      <c r="R23" s="69" t="str">
        <f>LEFT(Iss_Mon_Yr,2)</f>
        <v>7</v>
      </c>
      <c r="U23" s="75" t="s">
        <v>332</v>
      </c>
      <c r="V23" s="181">
        <v>0</v>
      </c>
      <c r="W23" s="7">
        <f>IF(AND(CBID="U",CAT="5K",$W$12=39021),1,0)</f>
        <v>0</v>
      </c>
      <c r="X23" s="85" t="s">
        <v>541</v>
      </c>
      <c r="Y23" s="20"/>
      <c r="Z23" s="21">
        <v>20</v>
      </c>
      <c r="AA23" s="174">
        <v>513</v>
      </c>
      <c r="AB23" s="174">
        <v>0.125</v>
      </c>
      <c r="AC23" s="174" t="s">
        <v>209</v>
      </c>
      <c r="AD23" s="9" t="s">
        <v>4</v>
      </c>
      <c r="AF23" s="20">
        <v>220200</v>
      </c>
      <c r="AG23" s="20">
        <v>0.33</v>
      </c>
      <c r="AH23" s="20">
        <v>47513.5</v>
      </c>
      <c r="AI23" s="20"/>
      <c r="AJ23" s="14">
        <v>1000000</v>
      </c>
      <c r="AK23" s="171">
        <v>0.1133</v>
      </c>
      <c r="AL23" s="14">
        <v>99780.74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435.88</v>
      </c>
      <c r="C24" s="109">
        <f>IF(N39=1,T27,Reg_EPMC)</f>
        <v>0</v>
      </c>
      <c r="D24" s="110">
        <f>M8</f>
        <v>0</v>
      </c>
      <c r="E24" s="110"/>
      <c r="F24" s="109">
        <f>M10</f>
        <v>435.88</v>
      </c>
      <c r="G24" s="100"/>
      <c r="H24" s="107"/>
      <c r="J24" s="163"/>
      <c r="K24" s="86"/>
      <c r="L24" s="87"/>
      <c r="M24" s="14" t="s">
        <v>394</v>
      </c>
      <c r="N24" s="83">
        <f>IF(Salary_Per="H",N23*K10,N23/K6*K10)</f>
        <v>0</v>
      </c>
      <c r="O24" s="86"/>
      <c r="P24" s="145" t="s">
        <v>446</v>
      </c>
      <c r="Q24" s="159">
        <v>38868</v>
      </c>
      <c r="R24" s="14">
        <f>LEN(Iss_Mon_Yr)</f>
        <v>1</v>
      </c>
      <c r="U24" s="75" t="s">
        <v>333</v>
      </c>
      <c r="V24" s="181">
        <v>0</v>
      </c>
      <c r="W24" s="7">
        <f>IF(AND(CBID="U",CAT="3A",$W$12=39021),1,0)</f>
        <v>0</v>
      </c>
      <c r="X24" s="83" t="s">
        <v>546</v>
      </c>
      <c r="Y24" s="20"/>
      <c r="Z24" s="21">
        <v>21</v>
      </c>
      <c r="AA24" s="174">
        <v>0</v>
      </c>
      <c r="AB24" s="174">
        <v>0</v>
      </c>
      <c r="AC24" s="174" t="s">
        <v>159</v>
      </c>
      <c r="AD24" s="9" t="s">
        <v>4</v>
      </c>
      <c r="AF24" s="20">
        <v>387050</v>
      </c>
      <c r="AG24" s="61">
        <v>0.35</v>
      </c>
      <c r="AH24" s="20">
        <v>102574</v>
      </c>
      <c r="AI24" s="20"/>
      <c r="AJ24" s="14">
        <v>9999999</v>
      </c>
      <c r="AK24" s="171">
        <v>0.1133</v>
      </c>
      <c r="AL24" s="14">
        <v>99780.74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168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395</v>
      </c>
      <c r="N25" s="83">
        <f>IF(Salary_Per="H",N23*K11,N23/K6*K11)</f>
        <v>4000</v>
      </c>
      <c r="O25" s="86"/>
      <c r="P25" s="145" t="s">
        <v>447</v>
      </c>
      <c r="Q25" s="159">
        <v>38898</v>
      </c>
      <c r="R25" s="69"/>
      <c r="U25" s="75" t="s">
        <v>334</v>
      </c>
      <c r="V25" s="181">
        <v>0</v>
      </c>
      <c r="W25" s="7">
        <f>IF(AND(CBID="U",CAT="3B",$W$12=39021),1,0)</f>
        <v>0</v>
      </c>
      <c r="X25" s="83" t="s">
        <v>547</v>
      </c>
      <c r="Y25" s="20"/>
      <c r="Z25" s="21">
        <v>22</v>
      </c>
      <c r="AA25" s="174">
        <v>0</v>
      </c>
      <c r="AB25" s="174">
        <v>0</v>
      </c>
      <c r="AC25" s="174" t="s">
        <v>159</v>
      </c>
      <c r="AD25" s="9" t="s">
        <v>4</v>
      </c>
      <c r="AF25" s="20"/>
      <c r="AG25" s="20"/>
      <c r="AH25" s="20"/>
      <c r="AI25" s="20"/>
      <c r="AJ25" s="14">
        <v>9999999</v>
      </c>
      <c r="AK25" s="171">
        <v>0.1133</v>
      </c>
      <c r="AL25" s="14">
        <v>99780.74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58</v>
      </c>
      <c r="C26" s="111">
        <f>Reg_Med</f>
        <v>0</v>
      </c>
      <c r="D26" s="100"/>
      <c r="E26" s="107"/>
      <c r="F26" s="112"/>
      <c r="G26" s="100"/>
      <c r="H26" s="107"/>
      <c r="J26" s="162"/>
      <c r="K26" s="86"/>
      <c r="L26" s="87"/>
      <c r="M26" s="155" t="s">
        <v>392</v>
      </c>
      <c r="N26" s="154"/>
      <c r="O26" s="86"/>
      <c r="P26" s="145" t="s">
        <v>448</v>
      </c>
      <c r="Q26" s="159">
        <v>38929</v>
      </c>
      <c r="R26" s="14" t="s">
        <v>319</v>
      </c>
      <c r="U26" s="75" t="s">
        <v>335</v>
      </c>
      <c r="V26" s="181">
        <v>0</v>
      </c>
      <c r="Z26" s="21">
        <v>23</v>
      </c>
      <c r="AA26" s="174">
        <v>317</v>
      </c>
      <c r="AB26" s="174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9999999</v>
      </c>
      <c r="AK26" s="171">
        <v>0.1133</v>
      </c>
      <c r="AL26" s="14">
        <v>99780.74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365.03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434</v>
      </c>
      <c r="N27" s="156">
        <f>Org_Sal_Rate-D6</f>
        <v>4000</v>
      </c>
      <c r="O27" s="86"/>
      <c r="P27" s="145" t="s">
        <v>449</v>
      </c>
      <c r="Q27" s="83">
        <v>38960</v>
      </c>
      <c r="R27" s="14" t="s">
        <v>318</v>
      </c>
      <c r="S27" s="14" t="s">
        <v>328</v>
      </c>
      <c r="T27" s="19">
        <f>IF(AND(Org_Sal_Rate=4000,ISBLANK(Red_Sal_Rate)),ROUND((Reg_Net_Grs-S3)*S4,2),Reg_EPMC)</f>
        <v>-64.13</v>
      </c>
      <c r="U27" s="75" t="s">
        <v>322</v>
      </c>
      <c r="V27" s="181">
        <v>0</v>
      </c>
      <c r="Z27" s="21">
        <v>24</v>
      </c>
      <c r="AA27" s="174">
        <v>513</v>
      </c>
      <c r="AB27" s="174">
        <v>0</v>
      </c>
      <c r="AC27" s="174" t="s">
        <v>209</v>
      </c>
      <c r="AD27" s="9" t="s">
        <v>4</v>
      </c>
      <c r="AJ27" s="14">
        <v>9999999</v>
      </c>
      <c r="AK27" s="171">
        <v>0.1133</v>
      </c>
      <c r="AL27" s="14">
        <v>99780.74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68.37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393</v>
      </c>
      <c r="N28" s="155">
        <f>IF(Salary_Per="H",N27*K9,(N27/K6)*K9)</f>
        <v>0</v>
      </c>
      <c r="O28" s="86"/>
      <c r="P28" s="145" t="s">
        <v>450</v>
      </c>
      <c r="Q28" s="159">
        <v>38990</v>
      </c>
      <c r="R28" s="14" t="s">
        <v>329</v>
      </c>
      <c r="S28" s="14" t="s">
        <v>165</v>
      </c>
      <c r="T28" s="19"/>
      <c r="U28" s="75" t="s">
        <v>336</v>
      </c>
      <c r="V28" s="181">
        <v>0</v>
      </c>
      <c r="Z28" s="21">
        <v>25</v>
      </c>
      <c r="AA28" s="174">
        <v>513</v>
      </c>
      <c r="AB28" s="174">
        <v>0.125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396</v>
      </c>
      <c r="N29" s="155">
        <f>+N28+N24</f>
        <v>0</v>
      </c>
      <c r="O29" s="86"/>
      <c r="P29" s="145" t="s">
        <v>451</v>
      </c>
      <c r="Q29" s="159">
        <v>39021</v>
      </c>
      <c r="R29" s="14" t="s">
        <v>320</v>
      </c>
      <c r="S29" s="14" t="s">
        <v>328</v>
      </c>
      <c r="T29" s="19"/>
      <c r="U29" s="75" t="s">
        <v>337</v>
      </c>
      <c r="V29" s="181">
        <v>0</v>
      </c>
      <c r="Z29" s="21">
        <v>27</v>
      </c>
      <c r="AA29" s="174">
        <v>513</v>
      </c>
      <c r="AB29" s="174">
        <v>0.1</v>
      </c>
      <c r="AC29" s="174" t="s">
        <v>159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2904.72</v>
      </c>
      <c r="C30" s="113">
        <f>ROUND(C23-(SUM(C24:C29)),2)</f>
        <v>0</v>
      </c>
      <c r="D30" s="114">
        <f>ROUND(D23-D24,2)</f>
        <v>0</v>
      </c>
      <c r="E30" s="114"/>
      <c r="F30" s="113">
        <f>ROUND(F23-F24,2)</f>
        <v>2230.79</v>
      </c>
      <c r="G30" s="100"/>
      <c r="H30" s="107"/>
      <c r="J30" s="85"/>
      <c r="K30" s="86"/>
      <c r="L30" s="87"/>
      <c r="M30" s="14" t="s">
        <v>379</v>
      </c>
      <c r="N30" s="14">
        <f>Salary_Rate-D6</f>
        <v>4000</v>
      </c>
      <c r="O30" s="86"/>
      <c r="P30" s="145" t="s">
        <v>452</v>
      </c>
      <c r="Q30" s="159">
        <v>39051</v>
      </c>
      <c r="R30" s="14" t="s">
        <v>321</v>
      </c>
      <c r="S30" s="14" t="s">
        <v>328</v>
      </c>
      <c r="T30" s="19"/>
      <c r="U30" s="75" t="s">
        <v>323</v>
      </c>
      <c r="V30" s="181">
        <v>0</v>
      </c>
      <c r="Z30" s="21">
        <v>30</v>
      </c>
      <c r="AA30" s="174">
        <v>317</v>
      </c>
      <c r="AB30" s="174">
        <v>0.105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292</v>
      </c>
      <c r="B31" s="84">
        <f>Org_Hr_Rate</f>
        <v>22.72727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397</v>
      </c>
      <c r="N31" s="155">
        <f>ROUND((N29-S3)*EPMC_P,2)</f>
        <v>-64.13</v>
      </c>
      <c r="O31" s="86"/>
      <c r="R31" s="14" t="s">
        <v>330</v>
      </c>
      <c r="S31" s="14" t="s">
        <v>165</v>
      </c>
      <c r="T31" s="20"/>
      <c r="U31" s="75" t="s">
        <v>324</v>
      </c>
      <c r="V31" s="181">
        <v>0</v>
      </c>
      <c r="Z31" s="21">
        <v>40</v>
      </c>
      <c r="AA31" s="174">
        <v>317</v>
      </c>
      <c r="AB31" s="174">
        <v>0.105</v>
      </c>
      <c r="AC31" s="174" t="s">
        <v>208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286</v>
      </c>
      <c r="B32" s="67">
        <f>IF(ROUND(Full_Net-(SUM(C30:F30)),2)&lt;0,0,ROUND(Full_Net-(SUM(C30:F30)),2))</f>
        <v>673.93</v>
      </c>
      <c r="C32" s="118" t="s">
        <v>287</v>
      </c>
      <c r="D32" s="119">
        <f>Withhold_Factor</f>
        <v>0.6275</v>
      </c>
      <c r="E32" s="119"/>
      <c r="F32" s="120" t="s">
        <v>288</v>
      </c>
      <c r="G32" s="121">
        <f>ROUND(Supple_Gross_Net/Divided_By,2)</f>
        <v>1073.99</v>
      </c>
      <c r="H32" s="122"/>
      <c r="J32" s="85"/>
      <c r="K32" s="86"/>
      <c r="L32" s="87"/>
      <c r="M32" s="155" t="s">
        <v>403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331</v>
      </c>
      <c r="S32" s="14" t="s">
        <v>165</v>
      </c>
      <c r="T32" s="20"/>
      <c r="U32" s="75" t="s">
        <v>338</v>
      </c>
      <c r="V32" s="181">
        <v>0</v>
      </c>
      <c r="Z32" s="21">
        <v>41</v>
      </c>
      <c r="AA32" s="174">
        <v>0</v>
      </c>
      <c r="AB32" s="174">
        <v>0</v>
      </c>
      <c r="AC32" s="174" t="s">
        <v>209</v>
      </c>
      <c r="AD32" s="9" t="s">
        <v>4</v>
      </c>
      <c r="AJ32" s="14">
        <v>14248</v>
      </c>
      <c r="AK32" s="171">
        <v>0.022</v>
      </c>
      <c r="AL32" s="14">
        <v>156.73</v>
      </c>
      <c r="AO32" s="166"/>
      <c r="AP32" s="167"/>
      <c r="AQ32" s="168"/>
      <c r="AR32" s="165"/>
      <c r="AS32" s="165"/>
    </row>
    <row r="33" spans="1:45" ht="15" thickBot="1" thickTop="1">
      <c r="A33" s="123" t="s">
        <v>293</v>
      </c>
      <c r="B33" s="124">
        <f>S9</f>
        <v>1073.9920318725099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405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332</v>
      </c>
      <c r="S33" s="14" t="s">
        <v>165</v>
      </c>
      <c r="T33" s="20"/>
      <c r="U33" s="75" t="s">
        <v>327</v>
      </c>
      <c r="V33" s="181">
        <v>0</v>
      </c>
      <c r="Z33" s="21">
        <v>42</v>
      </c>
      <c r="AA33" s="174">
        <v>317</v>
      </c>
      <c r="AB33" s="174">
        <v>0.06</v>
      </c>
      <c r="AC33" s="174" t="s">
        <v>159</v>
      </c>
      <c r="AD33" s="9" t="s">
        <v>4</v>
      </c>
      <c r="AJ33" s="14">
        <v>33780</v>
      </c>
      <c r="AK33" s="171">
        <v>0.044</v>
      </c>
      <c r="AL33" s="14">
        <v>586.43</v>
      </c>
      <c r="AO33" s="166"/>
      <c r="AP33" s="167"/>
      <c r="AQ33" s="168"/>
      <c r="AR33" s="165"/>
      <c r="AS33" s="165"/>
    </row>
    <row r="34" spans="1:45" ht="15" thickBot="1" thickTop="1">
      <c r="A34" s="129" t="s">
        <v>289</v>
      </c>
      <c r="B34" s="130"/>
      <c r="C34" s="131"/>
      <c r="D34" s="132">
        <f>S10</f>
        <v>47</v>
      </c>
      <c r="E34" s="133"/>
      <c r="F34" s="100"/>
      <c r="G34" s="100"/>
      <c r="H34" s="107"/>
      <c r="J34" s="85"/>
      <c r="K34" s="86"/>
      <c r="L34" s="87"/>
      <c r="M34" s="155" t="s">
        <v>404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333</v>
      </c>
      <c r="S34" s="14" t="s">
        <v>165</v>
      </c>
      <c r="T34" s="20"/>
      <c r="U34" s="75" t="s">
        <v>339</v>
      </c>
      <c r="V34" s="181">
        <v>0</v>
      </c>
      <c r="Z34" s="21">
        <v>43</v>
      </c>
      <c r="AA34" s="174">
        <v>513</v>
      </c>
      <c r="AB34" s="174">
        <v>0.05</v>
      </c>
      <c r="AC34" s="174" t="s">
        <v>209</v>
      </c>
      <c r="AD34" s="9" t="s">
        <v>4</v>
      </c>
      <c r="AJ34" s="14">
        <v>53314</v>
      </c>
      <c r="AK34" s="171">
        <v>0.066</v>
      </c>
      <c r="AL34" s="14">
        <v>1445.93</v>
      </c>
      <c r="AO34" s="166"/>
      <c r="AP34" s="167"/>
      <c r="AQ34" s="168"/>
      <c r="AR34" s="165"/>
      <c r="AS34" s="165"/>
    </row>
    <row r="35" spans="1:45" ht="15" thickBot="1" thickTop="1">
      <c r="A35" s="134" t="s">
        <v>290</v>
      </c>
      <c r="B35" s="135">
        <f>S11</f>
        <v>5</v>
      </c>
      <c r="C35" s="136" t="s">
        <v>291</v>
      </c>
      <c r="D35" s="137">
        <f>S12</f>
        <v>7</v>
      </c>
      <c r="E35" s="138"/>
      <c r="F35" s="139"/>
      <c r="G35" s="140"/>
      <c r="H35" s="141"/>
      <c r="J35" s="85"/>
      <c r="K35" s="86"/>
      <c r="L35" s="87"/>
      <c r="M35" s="155" t="s">
        <v>410</v>
      </c>
      <c r="N35" s="160">
        <f>-N7</f>
        <v>513</v>
      </c>
      <c r="O35" s="86"/>
      <c r="P35" s="154"/>
      <c r="Q35" s="154"/>
      <c r="R35" s="14" t="s">
        <v>334</v>
      </c>
      <c r="S35" s="14" t="s">
        <v>165</v>
      </c>
      <c r="T35" s="20"/>
      <c r="U35" s="75" t="s">
        <v>340</v>
      </c>
      <c r="V35" s="181">
        <v>0</v>
      </c>
      <c r="Z35" s="21">
        <v>44</v>
      </c>
      <c r="AA35" s="174">
        <v>0</v>
      </c>
      <c r="AB35" s="174">
        <v>0</v>
      </c>
      <c r="AC35" s="174" t="s">
        <v>209</v>
      </c>
      <c r="AD35" s="9" t="s">
        <v>4</v>
      </c>
      <c r="AJ35" s="14">
        <v>74010</v>
      </c>
      <c r="AK35" s="171">
        <v>0.088</v>
      </c>
      <c r="AL35" s="14">
        <v>2811.87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422</v>
      </c>
      <c r="N36" s="155">
        <f>ROUND(IF(LEFT(Ret_SM_Exl_Apply,1)="n",N25*EPMC_P,0),2)</f>
        <v>0</v>
      </c>
      <c r="O36" s="86"/>
      <c r="P36" s="154"/>
      <c r="Q36" s="154"/>
      <c r="R36" s="14" t="s">
        <v>335</v>
      </c>
      <c r="S36" s="14" t="s">
        <v>165</v>
      </c>
      <c r="T36" s="20"/>
      <c r="U36" s="75" t="s">
        <v>325</v>
      </c>
      <c r="V36" s="181">
        <v>0</v>
      </c>
      <c r="Z36" s="21">
        <v>45</v>
      </c>
      <c r="AA36" s="174">
        <v>513</v>
      </c>
      <c r="AB36" s="174">
        <v>0.05</v>
      </c>
      <c r="AC36" s="174" t="s">
        <v>209</v>
      </c>
      <c r="AD36" s="9" t="s">
        <v>4</v>
      </c>
      <c r="AJ36" s="14">
        <v>93532</v>
      </c>
      <c r="AK36" s="171">
        <v>0.1023</v>
      </c>
      <c r="AL36" s="14">
        <v>4529.81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423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435.88</v>
      </c>
      <c r="O37" s="86"/>
      <c r="P37" s="154"/>
      <c r="Q37" s="154"/>
      <c r="R37" s="14" t="s">
        <v>322</v>
      </c>
      <c r="S37" s="14" t="s">
        <v>328</v>
      </c>
      <c r="T37" s="20"/>
      <c r="U37" s="75" t="s">
        <v>326</v>
      </c>
      <c r="V37" s="181">
        <v>0</v>
      </c>
      <c r="Z37" s="21">
        <v>46</v>
      </c>
      <c r="AA37" s="174">
        <v>317</v>
      </c>
      <c r="AB37" s="174">
        <v>0.06</v>
      </c>
      <c r="AC37" s="174" t="s">
        <v>208</v>
      </c>
      <c r="AD37" s="9" t="s">
        <v>4</v>
      </c>
      <c r="AJ37" s="14">
        <v>1000000</v>
      </c>
      <c r="AK37" s="171">
        <v>0.1133</v>
      </c>
      <c r="AL37" s="14">
        <v>97261.49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467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336</v>
      </c>
      <c r="S38" s="14" t="s">
        <v>165</v>
      </c>
      <c r="T38" s="20"/>
      <c r="U38" s="75" t="s">
        <v>156</v>
      </c>
      <c r="V38" s="181">
        <v>0</v>
      </c>
      <c r="Z38" s="21">
        <v>47</v>
      </c>
      <c r="AA38" s="174">
        <v>0</v>
      </c>
      <c r="AB38" s="174">
        <v>0</v>
      </c>
      <c r="AC38" s="174" t="s">
        <v>209</v>
      </c>
      <c r="AD38" s="9" t="s">
        <v>4</v>
      </c>
      <c r="AJ38" s="14">
        <v>9999999</v>
      </c>
      <c r="AK38" s="171">
        <v>0.1133</v>
      </c>
      <c r="AL38" s="14">
        <v>97261.49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440</v>
      </c>
      <c r="N39" s="155">
        <v>0</v>
      </c>
      <c r="O39" s="86"/>
      <c r="P39" s="154"/>
      <c r="Q39" s="154"/>
      <c r="R39" s="14" t="s">
        <v>337</v>
      </c>
      <c r="S39" s="14" t="s">
        <v>165</v>
      </c>
      <c r="T39" s="20"/>
      <c r="U39" s="75" t="s">
        <v>157</v>
      </c>
      <c r="V39" s="181">
        <v>0</v>
      </c>
      <c r="Z39" s="21">
        <v>48</v>
      </c>
      <c r="AA39" s="174">
        <v>317</v>
      </c>
      <c r="AB39" s="174">
        <v>0.06</v>
      </c>
      <c r="AC39" s="174" t="s">
        <v>159</v>
      </c>
      <c r="AD39" s="9" t="s">
        <v>4</v>
      </c>
      <c r="AJ39" s="14">
        <v>9999999</v>
      </c>
      <c r="AK39" s="171">
        <v>0.1133</v>
      </c>
      <c r="AL39" s="14">
        <v>97261.49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323</v>
      </c>
      <c r="S40" s="14" t="s">
        <v>328</v>
      </c>
      <c r="T40" s="20"/>
      <c r="U40" s="143" t="s">
        <v>155</v>
      </c>
      <c r="V40" s="181">
        <v>0</v>
      </c>
      <c r="Z40" s="21">
        <v>49</v>
      </c>
      <c r="AA40" s="174">
        <v>513</v>
      </c>
      <c r="AB40" s="174">
        <v>0.095</v>
      </c>
      <c r="AC40" s="174" t="s">
        <v>209</v>
      </c>
      <c r="AJ40" s="14">
        <v>9999999</v>
      </c>
      <c r="AK40" s="171">
        <v>0.1133</v>
      </c>
      <c r="AL40" s="14">
        <v>97261.49</v>
      </c>
      <c r="AO40" s="166"/>
      <c r="AP40" s="167"/>
      <c r="AQ40" s="168"/>
      <c r="AR40" s="165"/>
      <c r="AS40" s="165"/>
    </row>
    <row r="41" spans="1:45" ht="15">
      <c r="A41" s="2" t="s">
        <v>406</v>
      </c>
      <c r="J41" s="85"/>
      <c r="K41" s="86"/>
      <c r="L41" s="87"/>
      <c r="M41" s="155"/>
      <c r="N41" s="155"/>
      <c r="O41" s="86"/>
      <c r="P41" s="154"/>
      <c r="Q41" s="154"/>
      <c r="R41" s="14" t="s">
        <v>324</v>
      </c>
      <c r="S41" s="14" t="s">
        <v>328</v>
      </c>
      <c r="T41" s="20"/>
      <c r="U41" s="47"/>
      <c r="V41" s="144"/>
      <c r="Z41" s="21">
        <v>50</v>
      </c>
      <c r="AA41" s="174">
        <v>238</v>
      </c>
      <c r="AB41" s="174">
        <v>0.08</v>
      </c>
      <c r="AC41" s="174" t="s">
        <v>159</v>
      </c>
      <c r="AD41" s="9" t="s">
        <v>4</v>
      </c>
      <c r="AJ41" s="14">
        <v>9999999</v>
      </c>
      <c r="AK41" s="171">
        <v>0.1133</v>
      </c>
      <c r="AL41" s="14">
        <v>97261.49</v>
      </c>
      <c r="AO41" s="166"/>
      <c r="AP41" s="167"/>
      <c r="AQ41" s="168"/>
      <c r="AR41" s="165"/>
      <c r="AS41" s="165"/>
    </row>
    <row r="42" spans="1:45" ht="15">
      <c r="A42" s="2" t="s">
        <v>424</v>
      </c>
      <c r="J42" s="85"/>
      <c r="K42" s="86"/>
      <c r="L42" s="87"/>
      <c r="M42" s="155"/>
      <c r="N42" s="155"/>
      <c r="O42" s="86"/>
      <c r="P42" s="154"/>
      <c r="Q42" s="154"/>
      <c r="R42" s="14" t="s">
        <v>338</v>
      </c>
      <c r="S42" s="14" t="s">
        <v>165</v>
      </c>
      <c r="V42" s="144"/>
      <c r="Z42" s="21">
        <v>51</v>
      </c>
      <c r="AA42" s="174">
        <v>238</v>
      </c>
      <c r="AB42" s="174">
        <v>0</v>
      </c>
      <c r="AC42" s="174" t="s">
        <v>208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371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327</v>
      </c>
      <c r="S43" s="14" t="s">
        <v>328</v>
      </c>
      <c r="V43" s="144"/>
      <c r="Z43" s="21">
        <v>52</v>
      </c>
      <c r="AA43" s="174">
        <v>238</v>
      </c>
      <c r="AB43" s="174">
        <v>0</v>
      </c>
      <c r="AC43" s="174" t="s">
        <v>159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372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339</v>
      </c>
      <c r="S44" s="14" t="s">
        <v>165</v>
      </c>
      <c r="V44" s="144"/>
      <c r="Z44" s="21">
        <v>53</v>
      </c>
      <c r="AA44" s="174">
        <v>238</v>
      </c>
      <c r="AB44" s="174">
        <v>0.08</v>
      </c>
      <c r="AC44" s="174" t="s">
        <v>208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340</v>
      </c>
      <c r="S45" s="14" t="s">
        <v>165</v>
      </c>
      <c r="V45" s="144"/>
      <c r="Z45" s="21">
        <v>54</v>
      </c>
      <c r="AA45" s="174">
        <v>238</v>
      </c>
      <c r="AB45" s="174">
        <v>0.08</v>
      </c>
      <c r="AC45" s="174" t="s">
        <v>159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325</v>
      </c>
      <c r="S46" s="14" t="s">
        <v>328</v>
      </c>
      <c r="V46" s="144"/>
      <c r="Z46" s="21">
        <v>55</v>
      </c>
      <c r="AA46" s="174">
        <v>863</v>
      </c>
      <c r="AB46" s="174">
        <v>0.08</v>
      </c>
      <c r="AC46" s="174" t="s">
        <v>208</v>
      </c>
      <c r="AD46" s="9" t="s">
        <v>4</v>
      </c>
      <c r="AJ46" s="14">
        <v>14257</v>
      </c>
      <c r="AK46" s="171">
        <v>0.022</v>
      </c>
      <c r="AL46" s="14">
        <v>156.83</v>
      </c>
      <c r="AO46" s="166"/>
      <c r="AP46" s="167"/>
      <c r="AQ46" s="168"/>
      <c r="AR46" s="165"/>
      <c r="AS46" s="165"/>
    </row>
    <row r="47" spans="1:45" ht="15">
      <c r="A47" s="2"/>
      <c r="J47" s="183" t="s">
        <v>453</v>
      </c>
      <c r="K47" s="183"/>
      <c r="L47" s="87"/>
      <c r="M47" s="183"/>
      <c r="N47" s="183"/>
      <c r="O47" s="86"/>
      <c r="R47" s="14" t="s">
        <v>326</v>
      </c>
      <c r="S47" s="14" t="s">
        <v>328</v>
      </c>
      <c r="V47" s="144"/>
      <c r="Z47" s="21">
        <v>56</v>
      </c>
      <c r="AA47" s="174">
        <v>863</v>
      </c>
      <c r="AB47" s="174">
        <v>0.08</v>
      </c>
      <c r="AC47" s="174" t="s">
        <v>159</v>
      </c>
      <c r="AD47" s="9" t="s">
        <v>4</v>
      </c>
      <c r="AJ47" s="14">
        <v>33780</v>
      </c>
      <c r="AK47" s="171">
        <v>0.044</v>
      </c>
      <c r="AL47" s="14">
        <v>586.34</v>
      </c>
      <c r="AO47" s="166"/>
      <c r="AP47" s="167"/>
      <c r="AQ47" s="168"/>
      <c r="AR47" s="165"/>
      <c r="AS47" s="165"/>
    </row>
    <row r="48" spans="1:45" ht="15">
      <c r="A48" s="150" t="s">
        <v>411</v>
      </c>
      <c r="J48" s="89" t="s">
        <v>31</v>
      </c>
      <c r="K48" s="69">
        <f>ROUND(Gross_Net-EPMC,2)</f>
        <v>3564.12</v>
      </c>
      <c r="L48" s="69" t="s">
        <v>307</v>
      </c>
      <c r="N48" s="69"/>
      <c r="O48" s="69"/>
      <c r="V48" s="144"/>
      <c r="W48" s="19"/>
      <c r="Z48" s="21">
        <v>57</v>
      </c>
      <c r="AA48" s="174">
        <v>513</v>
      </c>
      <c r="AB48" s="174">
        <v>0.08</v>
      </c>
      <c r="AC48" s="174" t="s">
        <v>208</v>
      </c>
      <c r="AD48" s="9" t="s">
        <v>4</v>
      </c>
      <c r="AJ48" s="14">
        <v>43545</v>
      </c>
      <c r="AK48" s="171">
        <v>0.066</v>
      </c>
      <c r="AL48" s="14">
        <v>1016</v>
      </c>
      <c r="AO48" s="166"/>
      <c r="AP48" s="167"/>
      <c r="AQ48" s="168"/>
      <c r="AR48" s="165"/>
      <c r="AS48" s="165"/>
    </row>
    <row r="49" spans="1:45" ht="15">
      <c r="A49" s="3" t="s">
        <v>412</v>
      </c>
      <c r="J49" s="89" t="s">
        <v>32</v>
      </c>
      <c r="K49" s="69">
        <f>(Reg_Net_Grs-Reg_EPMC)</f>
        <v>0</v>
      </c>
      <c r="L49" s="69" t="s">
        <v>308</v>
      </c>
      <c r="N49" s="69"/>
      <c r="O49" s="69"/>
      <c r="S49" s="14" t="s">
        <v>294</v>
      </c>
      <c r="U49" s="47"/>
      <c r="V49" s="144"/>
      <c r="W49" s="19"/>
      <c r="Z49" s="21">
        <v>58</v>
      </c>
      <c r="AA49" s="174">
        <v>513</v>
      </c>
      <c r="AB49" s="174">
        <v>0.08</v>
      </c>
      <c r="AC49" s="174" t="s">
        <v>159</v>
      </c>
      <c r="AD49" s="9" t="s">
        <v>4</v>
      </c>
      <c r="AJ49" s="14">
        <v>53893</v>
      </c>
      <c r="AK49" s="171">
        <v>0.088</v>
      </c>
      <c r="AL49" s="14">
        <v>1698.97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0</v>
      </c>
      <c r="L50" s="14" t="s">
        <v>309</v>
      </c>
      <c r="R50" s="146" t="s">
        <v>300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81">
        <f>IF(S50&gt;0,VLOOKUP(S50,Mand_Hold_Factor,2),VLOOKUP(S51,Mand_Hold_Factor,2))</f>
        <v>0.6275</v>
      </c>
      <c r="V50" s="144"/>
      <c r="W50" s="19"/>
      <c r="Z50" s="21">
        <v>61</v>
      </c>
      <c r="AA50" s="174">
        <v>863</v>
      </c>
      <c r="AB50" s="174">
        <v>0.08</v>
      </c>
      <c r="AC50" s="174" t="s">
        <v>159</v>
      </c>
      <c r="AD50" s="9" t="s">
        <v>4</v>
      </c>
      <c r="AJ50" s="14">
        <v>63657</v>
      </c>
      <c r="AK50" s="171">
        <v>0.1023</v>
      </c>
      <c r="AL50" s="14">
        <v>2558.2</v>
      </c>
      <c r="AO50" s="166"/>
      <c r="AP50" s="167"/>
      <c r="AQ50" s="168"/>
      <c r="AR50" s="165"/>
      <c r="AS50" s="165"/>
    </row>
    <row r="51" spans="1:45" ht="15">
      <c r="A51" s="3" t="s">
        <v>343</v>
      </c>
      <c r="J51" s="89" t="s">
        <v>35</v>
      </c>
      <c r="K51" s="14">
        <f>Salary_Rate</f>
        <v>4000</v>
      </c>
      <c r="L51" s="14" t="s">
        <v>310</v>
      </c>
      <c r="R51" s="146" t="s">
        <v>301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62</v>
      </c>
      <c r="AA51" s="174">
        <v>863</v>
      </c>
      <c r="AB51" s="174">
        <v>0.08</v>
      </c>
      <c r="AC51" s="174" t="s">
        <v>208</v>
      </c>
      <c r="AD51" s="9" t="s">
        <v>4</v>
      </c>
      <c r="AJ51" s="14">
        <v>1000000</v>
      </c>
      <c r="AK51" s="171">
        <v>0.1133</v>
      </c>
      <c r="AL51" s="14">
        <v>98346.09</v>
      </c>
      <c r="AO51" s="166"/>
      <c r="AP51" s="167"/>
      <c r="AQ51" s="168"/>
      <c r="AR51" s="165"/>
      <c r="AS51" s="165"/>
    </row>
    <row r="52" spans="1:45" ht="15">
      <c r="A52" s="3" t="s">
        <v>425</v>
      </c>
      <c r="J52" s="89" t="s">
        <v>37</v>
      </c>
      <c r="K52" s="14">
        <f>Salary_Rate</f>
        <v>4000</v>
      </c>
      <c r="L52" s="14" t="s">
        <v>310</v>
      </c>
      <c r="R52" s="14" t="s">
        <v>277</v>
      </c>
      <c r="S52" s="14">
        <v>1</v>
      </c>
      <c r="T52" s="19">
        <v>0.6275</v>
      </c>
      <c r="U52" s="7" t="s">
        <v>296</v>
      </c>
      <c r="V52" s="144"/>
      <c r="Z52" s="21">
        <v>63</v>
      </c>
      <c r="AA52" s="174">
        <v>238</v>
      </c>
      <c r="AB52" s="174">
        <v>0.08</v>
      </c>
      <c r="AC52" s="174" t="s">
        <v>159</v>
      </c>
      <c r="AD52" s="9" t="s">
        <v>4</v>
      </c>
      <c r="AJ52" s="14">
        <v>9999999</v>
      </c>
      <c r="AK52" s="171">
        <v>0.1133</v>
      </c>
      <c r="AL52" s="14">
        <v>98346.09</v>
      </c>
      <c r="AO52" s="166"/>
      <c r="AP52" s="167"/>
      <c r="AQ52" s="168"/>
      <c r="AR52" s="165"/>
      <c r="AS52" s="165"/>
    </row>
    <row r="53" spans="1:45" ht="15">
      <c r="A53" s="3" t="s">
        <v>407</v>
      </c>
      <c r="J53" s="89" t="s">
        <v>40</v>
      </c>
      <c r="K53" s="14">
        <f>Salary_Rate</f>
        <v>4000</v>
      </c>
      <c r="L53" s="14" t="s">
        <v>310</v>
      </c>
      <c r="R53" s="14" t="s">
        <v>295</v>
      </c>
      <c r="S53" s="14">
        <v>2</v>
      </c>
      <c r="T53" s="19">
        <v>0.6695</v>
      </c>
      <c r="U53" s="7" t="s">
        <v>296</v>
      </c>
      <c r="V53" s="144"/>
      <c r="Z53" s="21">
        <v>64</v>
      </c>
      <c r="AA53" s="174">
        <v>238</v>
      </c>
      <c r="AB53" s="174">
        <v>0.08</v>
      </c>
      <c r="AC53" s="174" t="s">
        <v>208</v>
      </c>
      <c r="AD53" s="9" t="s">
        <v>4</v>
      </c>
      <c r="AJ53" s="14">
        <v>9999999</v>
      </c>
      <c r="AK53" s="171">
        <v>0.1133</v>
      </c>
      <c r="AL53" s="14">
        <v>98346.09</v>
      </c>
      <c r="AO53" s="166"/>
      <c r="AP53" s="167"/>
      <c r="AQ53" s="168"/>
      <c r="AR53" s="165"/>
      <c r="AS53" s="165"/>
    </row>
    <row r="54" spans="1:45" ht="15">
      <c r="A54" s="3" t="s">
        <v>344</v>
      </c>
      <c r="J54" s="15"/>
      <c r="K54" s="69"/>
      <c r="R54" s="14" t="s">
        <v>376</v>
      </c>
      <c r="S54" s="14">
        <v>3</v>
      </c>
      <c r="T54" s="19">
        <v>0.684</v>
      </c>
      <c r="U54" s="7" t="s">
        <v>296</v>
      </c>
      <c r="V54" s="144"/>
      <c r="Z54" s="21">
        <v>66</v>
      </c>
      <c r="AA54" s="174">
        <v>863</v>
      </c>
      <c r="AB54" s="174">
        <v>0.08</v>
      </c>
      <c r="AC54" s="174" t="s">
        <v>208</v>
      </c>
      <c r="AD54" s="9" t="s">
        <v>4</v>
      </c>
      <c r="AJ54" s="14">
        <v>9999999</v>
      </c>
      <c r="AK54" s="171">
        <v>0.1133</v>
      </c>
      <c r="AL54" s="14">
        <v>98346.09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277</v>
      </c>
      <c r="S55" s="14">
        <v>4</v>
      </c>
      <c r="T55" s="19">
        <v>0.9435</v>
      </c>
      <c r="U55" s="7" t="s">
        <v>297</v>
      </c>
      <c r="Z55" s="21">
        <v>67</v>
      </c>
      <c r="AA55" s="174">
        <v>317</v>
      </c>
      <c r="AB55" s="174">
        <v>0</v>
      </c>
      <c r="AC55" s="174" t="s">
        <v>159</v>
      </c>
      <c r="AD55" s="9" t="s">
        <v>4</v>
      </c>
      <c r="AJ55" s="14">
        <v>9999999</v>
      </c>
      <c r="AK55" s="171">
        <v>0.1133</v>
      </c>
      <c r="AL55" s="14">
        <v>98346.09</v>
      </c>
      <c r="AO55" s="166"/>
      <c r="AP55" s="167"/>
      <c r="AQ55" s="168"/>
      <c r="AR55" s="165"/>
      <c r="AS55" s="165"/>
    </row>
    <row r="56" spans="1:45" ht="15">
      <c r="A56" s="151" t="s">
        <v>413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295</v>
      </c>
      <c r="S56" s="14">
        <v>5</v>
      </c>
      <c r="T56" s="19">
        <v>0.9855</v>
      </c>
      <c r="U56" s="7" t="s">
        <v>297</v>
      </c>
      <c r="Z56" s="21">
        <v>68</v>
      </c>
      <c r="AA56" s="174">
        <v>317</v>
      </c>
      <c r="AB56" s="174">
        <v>0</v>
      </c>
      <c r="AC56" s="174" t="s">
        <v>208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0</v>
      </c>
      <c r="L57" s="20"/>
      <c r="M57" s="93"/>
      <c r="R57" s="14" t="s">
        <v>376</v>
      </c>
      <c r="S57" s="14">
        <v>6</v>
      </c>
      <c r="T57" s="19">
        <v>1</v>
      </c>
      <c r="U57" s="7" t="s">
        <v>297</v>
      </c>
      <c r="V57" s="20"/>
      <c r="Z57" s="21">
        <v>83</v>
      </c>
      <c r="AA57" s="174">
        <v>863</v>
      </c>
      <c r="AB57" s="174">
        <v>0.08</v>
      </c>
      <c r="AC57" s="174" t="s">
        <v>159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365</v>
      </c>
      <c r="J58" s="94" t="s">
        <v>44</v>
      </c>
      <c r="M58" s="93"/>
      <c r="R58" s="14" t="s">
        <v>277</v>
      </c>
      <c r="S58" s="14">
        <v>7</v>
      </c>
      <c r="T58" s="19">
        <v>0.6935</v>
      </c>
      <c r="U58" s="7" t="s">
        <v>298</v>
      </c>
      <c r="Z58" s="21">
        <v>91</v>
      </c>
      <c r="AA58" s="174">
        <v>0</v>
      </c>
      <c r="AB58" s="174">
        <v>0</v>
      </c>
      <c r="AC58" s="174" t="s">
        <v>208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42769.44</v>
      </c>
      <c r="L59" s="20"/>
      <c r="M59" s="93"/>
      <c r="R59" s="14" t="s">
        <v>295</v>
      </c>
      <c r="S59" s="14">
        <v>8</v>
      </c>
      <c r="T59" s="19">
        <v>0.7355</v>
      </c>
      <c r="U59" s="7" t="s">
        <v>298</v>
      </c>
      <c r="Z59" s="21">
        <v>92</v>
      </c>
      <c r="AA59" s="174">
        <v>0</v>
      </c>
      <c r="AB59" s="174">
        <v>0</v>
      </c>
      <c r="AC59" s="174" t="s">
        <v>208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366</v>
      </c>
      <c r="J60" s="94" t="s">
        <v>46</v>
      </c>
      <c r="K60" s="147">
        <f>ROUND(PAYFACT*TG2,2)</f>
        <v>0</v>
      </c>
      <c r="L60" s="20"/>
      <c r="M60" s="93"/>
      <c r="R60" s="14" t="s">
        <v>376</v>
      </c>
      <c r="S60" s="14">
        <v>9</v>
      </c>
      <c r="T60" s="19">
        <v>0.75</v>
      </c>
      <c r="U60" s="7" t="s">
        <v>298</v>
      </c>
      <c r="Z60" s="21">
        <v>93</v>
      </c>
      <c r="AA60" s="174">
        <v>317</v>
      </c>
      <c r="AB60" s="174">
        <v>0</v>
      </c>
      <c r="AC60" s="174" t="s">
        <v>208</v>
      </c>
      <c r="AD60" s="9" t="s">
        <v>4</v>
      </c>
      <c r="AJ60" s="9" t="s">
        <v>23</v>
      </c>
      <c r="AK60" s="7">
        <v>0</v>
      </c>
      <c r="AL60" s="7">
        <v>108.9</v>
      </c>
      <c r="AM60" s="7">
        <v>217.8</v>
      </c>
      <c r="AN60" s="7">
        <v>108.9</v>
      </c>
      <c r="AO60" s="164"/>
      <c r="AP60" s="165"/>
      <c r="AQ60" s="165"/>
      <c r="AR60" s="165"/>
      <c r="AS60" s="165">
        <v>108.9</v>
      </c>
    </row>
    <row r="61" spans="1:45" ht="15">
      <c r="A61" s="5" t="s">
        <v>377</v>
      </c>
      <c r="J61" s="94" t="s">
        <v>47</v>
      </c>
      <c r="K61" s="14">
        <f>(PAYFACT*TG3)</f>
        <v>0</v>
      </c>
      <c r="L61" s="20"/>
      <c r="M61" s="93"/>
      <c r="R61" s="14" t="s">
        <v>277</v>
      </c>
      <c r="S61" s="14">
        <v>10</v>
      </c>
      <c r="T61" s="19">
        <v>0.8775</v>
      </c>
      <c r="U61" s="7" t="s">
        <v>299</v>
      </c>
      <c r="Z61" s="21">
        <v>94</v>
      </c>
      <c r="AA61" s="174">
        <v>513</v>
      </c>
      <c r="AB61" s="174">
        <v>0.05</v>
      </c>
      <c r="AC61" s="174" t="s">
        <v>209</v>
      </c>
      <c r="AJ61" s="9" t="s">
        <v>86</v>
      </c>
      <c r="AK61" s="7">
        <v>0</v>
      </c>
      <c r="AL61" s="7">
        <v>108.9</v>
      </c>
      <c r="AM61" s="7">
        <v>217.8</v>
      </c>
      <c r="AN61" s="7">
        <v>108.9</v>
      </c>
      <c r="AO61" s="164"/>
      <c r="AP61" s="165"/>
      <c r="AQ61" s="165"/>
      <c r="AR61" s="165"/>
      <c r="AS61" s="165">
        <v>108.9</v>
      </c>
    </row>
    <row r="62" spans="1:30" ht="15">
      <c r="A62" s="5" t="s">
        <v>367</v>
      </c>
      <c r="J62" s="94" t="s">
        <v>48</v>
      </c>
      <c r="K62" s="14">
        <f>(PAYFACT*TG4)</f>
        <v>48000</v>
      </c>
      <c r="L62" s="20"/>
      <c r="M62" s="93"/>
      <c r="R62" s="14" t="s">
        <v>295</v>
      </c>
      <c r="S62" s="14">
        <v>11</v>
      </c>
      <c r="T62" s="19">
        <v>0.9195</v>
      </c>
      <c r="U62" s="7" t="s">
        <v>299</v>
      </c>
      <c r="Z62" s="21">
        <v>95</v>
      </c>
      <c r="AA62" s="174">
        <v>0</v>
      </c>
      <c r="AB62" s="174">
        <v>0</v>
      </c>
      <c r="AC62" s="174" t="s">
        <v>209</v>
      </c>
      <c r="AD62" s="9" t="s">
        <v>4</v>
      </c>
    </row>
    <row r="63" spans="1:30" ht="15">
      <c r="A63" s="5"/>
      <c r="J63" s="94" t="s">
        <v>49</v>
      </c>
      <c r="K63" s="14">
        <f>(PAYFACT*TG5)</f>
        <v>48000</v>
      </c>
      <c r="L63" s="20"/>
      <c r="M63" s="93"/>
      <c r="R63" s="14" t="s">
        <v>376</v>
      </c>
      <c r="S63" s="14">
        <v>12</v>
      </c>
      <c r="T63" s="19">
        <v>0.934</v>
      </c>
      <c r="U63" s="7" t="s">
        <v>299</v>
      </c>
      <c r="Z63" s="21">
        <v>96</v>
      </c>
      <c r="AA63" s="174">
        <v>0</v>
      </c>
      <c r="AB63" s="174">
        <v>0</v>
      </c>
      <c r="AC63" s="174" t="s">
        <v>209</v>
      </c>
      <c r="AD63" s="9" t="s">
        <v>4</v>
      </c>
    </row>
    <row r="64" spans="1:30" ht="15">
      <c r="A64" s="151" t="s">
        <v>368</v>
      </c>
      <c r="J64" s="94" t="s">
        <v>50</v>
      </c>
      <c r="K64" s="14">
        <f>(PAYFACT*TG6)</f>
        <v>48000</v>
      </c>
      <c r="L64" s="20"/>
      <c r="M64" s="93"/>
      <c r="Z64" s="21">
        <v>97</v>
      </c>
      <c r="AA64" s="174">
        <v>317</v>
      </c>
      <c r="AB64" s="174">
        <v>0</v>
      </c>
      <c r="AC64" s="174" t="s">
        <v>159</v>
      </c>
      <c r="AD64" s="9" t="s">
        <v>4</v>
      </c>
    </row>
    <row r="65" spans="1:30" ht="15">
      <c r="A65" s="5"/>
      <c r="C65" s="9"/>
      <c r="J65" s="15"/>
      <c r="Z65" s="21">
        <v>98</v>
      </c>
      <c r="AA65" s="174">
        <v>0</v>
      </c>
      <c r="AB65" s="174">
        <v>0</v>
      </c>
      <c r="AC65" s="174" t="s">
        <v>159</v>
      </c>
      <c r="AD65" s="9" t="s">
        <v>4</v>
      </c>
    </row>
    <row r="66" spans="1:30" ht="15">
      <c r="A66" s="150" t="s">
        <v>373</v>
      </c>
      <c r="J66" s="94" t="s">
        <v>52</v>
      </c>
      <c r="M66" s="93"/>
      <c r="T66" s="20"/>
      <c r="Z66" s="21">
        <v>99</v>
      </c>
      <c r="AA66" s="174">
        <v>513</v>
      </c>
      <c r="AB66" s="174">
        <v>0</v>
      </c>
      <c r="AC66" s="174" t="s">
        <v>209</v>
      </c>
      <c r="AD66" s="9" t="s">
        <v>4</v>
      </c>
    </row>
    <row r="67" spans="1:30" ht="15">
      <c r="A67" s="150"/>
      <c r="J67" s="94" t="s">
        <v>54</v>
      </c>
      <c r="K67" s="14">
        <f>ROUND(FAN1-FEDEXM,2)</f>
        <v>42769.44</v>
      </c>
      <c r="L67" s="20"/>
      <c r="M67" s="93"/>
      <c r="T67" s="20"/>
      <c r="Z67" s="21" t="s">
        <v>210</v>
      </c>
      <c r="AA67" s="174">
        <v>317</v>
      </c>
      <c r="AB67" s="174">
        <v>0.07</v>
      </c>
      <c r="AC67" s="174" t="s">
        <v>208</v>
      </c>
      <c r="AD67" s="179" t="s">
        <v>553</v>
      </c>
    </row>
    <row r="68" spans="1:30" ht="15">
      <c r="A68" s="152" t="s">
        <v>414</v>
      </c>
      <c r="J68" s="94" t="s">
        <v>55</v>
      </c>
      <c r="K68" s="147">
        <f>(K60-FEDEXM)</f>
        <v>0</v>
      </c>
      <c r="L68" s="20"/>
      <c r="M68" s="93"/>
      <c r="Z68" s="21" t="s">
        <v>477</v>
      </c>
      <c r="AA68" s="174">
        <v>317</v>
      </c>
      <c r="AB68" s="174">
        <v>0.11</v>
      </c>
      <c r="AC68" s="174" t="s">
        <v>208</v>
      </c>
      <c r="AD68" s="179" t="s">
        <v>553</v>
      </c>
    </row>
    <row r="69" spans="1:30" ht="15">
      <c r="A69" s="2" t="s">
        <v>415</v>
      </c>
      <c r="J69" s="94" t="s">
        <v>56</v>
      </c>
      <c r="K69" s="14">
        <f>(K61-FEDEXM)</f>
        <v>0</v>
      </c>
      <c r="L69" s="20"/>
      <c r="M69" s="93"/>
      <c r="Z69" s="21" t="s">
        <v>478</v>
      </c>
      <c r="AA69" s="174">
        <v>317</v>
      </c>
      <c r="AB69" s="174">
        <v>0.11</v>
      </c>
      <c r="AC69" s="174" t="s">
        <v>159</v>
      </c>
      <c r="AD69" s="179" t="s">
        <v>553</v>
      </c>
    </row>
    <row r="70" spans="1:30" ht="15">
      <c r="A70" s="2"/>
      <c r="J70" s="94" t="s">
        <v>57</v>
      </c>
      <c r="K70" s="14">
        <f>(K62-FEDEXM)</f>
        <v>48000</v>
      </c>
      <c r="L70" s="20"/>
      <c r="M70" s="93"/>
      <c r="T70" s="20"/>
      <c r="Z70" s="21" t="s">
        <v>479</v>
      </c>
      <c r="AA70" s="174">
        <v>317</v>
      </c>
      <c r="AB70" s="174">
        <v>0.11</v>
      </c>
      <c r="AC70" s="174" t="s">
        <v>159</v>
      </c>
      <c r="AD70" s="179" t="s">
        <v>553</v>
      </c>
    </row>
    <row r="71" spans="1:30" ht="15">
      <c r="A71" s="150" t="s">
        <v>378</v>
      </c>
      <c r="J71" s="94" t="s">
        <v>58</v>
      </c>
      <c r="K71" s="14">
        <f>(K63-FEDEXM)</f>
        <v>48000</v>
      </c>
      <c r="L71" s="20"/>
      <c r="M71" s="93"/>
      <c r="T71" s="20"/>
      <c r="Z71" s="21" t="s">
        <v>480</v>
      </c>
      <c r="AA71" s="174">
        <v>317</v>
      </c>
      <c r="AB71" s="174">
        <v>0.11</v>
      </c>
      <c r="AC71" s="174" t="s">
        <v>208</v>
      </c>
      <c r="AD71" s="179" t="s">
        <v>553</v>
      </c>
    </row>
    <row r="72" spans="1:30" ht="15">
      <c r="A72" s="2" t="s">
        <v>416</v>
      </c>
      <c r="J72" s="94" t="s">
        <v>59</v>
      </c>
      <c r="K72" s="14">
        <f>(K64-FEDEXM)</f>
        <v>48000</v>
      </c>
      <c r="L72" s="20"/>
      <c r="M72" s="93"/>
      <c r="T72" s="20"/>
      <c r="Z72" s="21" t="s">
        <v>481</v>
      </c>
      <c r="AA72" s="174">
        <v>317</v>
      </c>
      <c r="AB72" s="174">
        <v>0.11</v>
      </c>
      <c r="AC72" s="174" t="s">
        <v>159</v>
      </c>
      <c r="AD72" s="179" t="s">
        <v>553</v>
      </c>
    </row>
    <row r="73" spans="1:30" ht="15">
      <c r="A73" s="2" t="s">
        <v>417</v>
      </c>
      <c r="J73" s="15"/>
      <c r="T73" s="20"/>
      <c r="Z73" s="21" t="s">
        <v>482</v>
      </c>
      <c r="AA73" s="174">
        <v>317</v>
      </c>
      <c r="AB73" s="174">
        <v>0.11</v>
      </c>
      <c r="AC73" s="174" t="s">
        <v>208</v>
      </c>
      <c r="AD73" s="179" t="s">
        <v>584</v>
      </c>
    </row>
    <row r="74" spans="1:30" ht="15">
      <c r="A74" s="2"/>
      <c r="J74" s="94" t="s">
        <v>60</v>
      </c>
      <c r="M74" s="93"/>
      <c r="T74" s="20"/>
      <c r="Z74" s="21" t="s">
        <v>523</v>
      </c>
      <c r="AA74" s="174">
        <v>317</v>
      </c>
      <c r="AB74" s="174">
        <v>0.09</v>
      </c>
      <c r="AC74" s="174" t="s">
        <v>208</v>
      </c>
      <c r="AD74" s="179" t="s">
        <v>584</v>
      </c>
    </row>
    <row r="75" spans="1:30" ht="15">
      <c r="A75" s="150" t="s">
        <v>418</v>
      </c>
      <c r="J75" s="94" t="s">
        <v>62</v>
      </c>
      <c r="K75" s="14">
        <f>IF(OR(FEDM="S",FEDM="H"),VLOOKUP(FTG1,FTXTBLSH1,1),IF(FEDM="M",VLOOKUP(FTG1,FTXTBLM1,1),0))</f>
        <v>24900</v>
      </c>
      <c r="L75" s="20"/>
      <c r="M75" s="93"/>
      <c r="T75" s="20"/>
      <c r="Z75" s="21" t="s">
        <v>524</v>
      </c>
      <c r="AA75" s="174">
        <v>317</v>
      </c>
      <c r="AB75" s="174">
        <v>0.09</v>
      </c>
      <c r="AC75" s="174" t="s">
        <v>159</v>
      </c>
      <c r="AD75" s="179" t="s">
        <v>553</v>
      </c>
    </row>
    <row r="76" spans="1:30" ht="15">
      <c r="A76" s="2" t="s">
        <v>545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21" t="s">
        <v>483</v>
      </c>
      <c r="AA76" s="174">
        <v>317</v>
      </c>
      <c r="AB76" s="174">
        <v>0.11</v>
      </c>
      <c r="AC76" s="174" t="s">
        <v>159</v>
      </c>
      <c r="AD76" s="179" t="s">
        <v>553</v>
      </c>
    </row>
    <row r="77" spans="1:30" ht="15">
      <c r="A77" s="2" t="s">
        <v>345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484</v>
      </c>
      <c r="AA77" s="174">
        <v>317</v>
      </c>
      <c r="AB77" s="174">
        <v>0.11</v>
      </c>
      <c r="AC77" s="174" t="s">
        <v>208</v>
      </c>
      <c r="AD77" s="179" t="s">
        <v>584</v>
      </c>
    </row>
    <row r="78" spans="1:30" ht="15">
      <c r="A78" s="5" t="s">
        <v>346</v>
      </c>
      <c r="J78" s="94" t="s">
        <v>454</v>
      </c>
      <c r="K78" s="14">
        <f>IF(OR(FEDM="S",FEDM="H"),VLOOKUP(K70,FTXTBLSH1,1),IF(FEDM="M",VLOOKUP(K70,FTXTBLM1,1),0))</f>
        <v>24900</v>
      </c>
      <c r="L78" s="20"/>
      <c r="M78" s="93"/>
      <c r="T78" s="20"/>
      <c r="Z78" s="21" t="s">
        <v>525</v>
      </c>
      <c r="AA78" s="174">
        <v>317</v>
      </c>
      <c r="AB78" s="174">
        <v>0.09</v>
      </c>
      <c r="AC78" s="174" t="s">
        <v>159</v>
      </c>
      <c r="AD78" s="85" t="s">
        <v>567</v>
      </c>
    </row>
    <row r="79" spans="1:30" ht="15">
      <c r="A79" s="151"/>
      <c r="J79" s="94" t="s">
        <v>455</v>
      </c>
      <c r="K79" s="14">
        <f>IF(OR(FEDM="S",FEDM="H"),VLOOKUP(K71,FTXTBLSH1,1),IF(FEDM="M",VLOOKUP(K71,FTXTBLM1,1),0))</f>
        <v>24900</v>
      </c>
      <c r="L79" s="20"/>
      <c r="M79" s="93"/>
      <c r="T79" s="20"/>
      <c r="Z79" s="172" t="s">
        <v>575</v>
      </c>
      <c r="AA79" s="175">
        <v>317</v>
      </c>
      <c r="AB79" s="175">
        <v>0.105</v>
      </c>
      <c r="AC79" s="175" t="s">
        <v>208</v>
      </c>
      <c r="AD79" s="179" t="s">
        <v>584</v>
      </c>
    </row>
    <row r="80" spans="1:30" ht="15">
      <c r="A80" s="151" t="s">
        <v>419</v>
      </c>
      <c r="J80" s="94" t="s">
        <v>456</v>
      </c>
      <c r="K80" s="14">
        <f>IF(OR(FEDM="S",FEDM="H"),VLOOKUP(K72,FTXTBLSH1,1),IF(FEDM="M",VLOOKUP(K72,FTXTBLM1,1),0))</f>
        <v>24900</v>
      </c>
      <c r="L80" s="20"/>
      <c r="M80" s="93"/>
      <c r="T80" s="20"/>
      <c r="Z80" s="21" t="s">
        <v>526</v>
      </c>
      <c r="AA80" s="174">
        <v>317</v>
      </c>
      <c r="AB80" s="174">
        <v>0.09</v>
      </c>
      <c r="AC80" s="174" t="s">
        <v>208</v>
      </c>
      <c r="AD80" s="179" t="s">
        <v>584</v>
      </c>
    </row>
    <row r="81" spans="1:30" ht="15">
      <c r="A81" s="4"/>
      <c r="J81" s="15"/>
      <c r="T81" s="20"/>
      <c r="Z81" s="21" t="s">
        <v>527</v>
      </c>
      <c r="AA81" s="174">
        <v>317</v>
      </c>
      <c r="AB81" s="174">
        <v>0.09</v>
      </c>
      <c r="AC81" s="174" t="s">
        <v>159</v>
      </c>
      <c r="AD81" s="179" t="s">
        <v>584</v>
      </c>
    </row>
    <row r="82" spans="1:30" ht="15">
      <c r="A82" s="151" t="s">
        <v>369</v>
      </c>
      <c r="J82" s="94" t="s">
        <v>66</v>
      </c>
      <c r="M82" s="93"/>
      <c r="T82" s="20"/>
      <c r="Z82" s="21" t="s">
        <v>528</v>
      </c>
      <c r="AA82" s="174">
        <v>317</v>
      </c>
      <c r="AB82" s="174">
        <v>0.09</v>
      </c>
      <c r="AC82" s="174" t="s">
        <v>208</v>
      </c>
      <c r="AD82" s="85" t="s">
        <v>551</v>
      </c>
    </row>
    <row r="83" spans="1:30" ht="15">
      <c r="A83" s="5" t="s">
        <v>347</v>
      </c>
      <c r="J83" s="94" t="s">
        <v>67</v>
      </c>
      <c r="K83" s="14">
        <f>IF(OR(FEDM="S",FEDM="H"),VLOOKUP(FTG1,FTXTBLSH1,2),IF(FEDM="M",VLOOKUP(FTG1,FTXTBLM1,2),0))</f>
        <v>0.15</v>
      </c>
      <c r="L83" s="20"/>
      <c r="M83" s="93"/>
      <c r="T83" s="20"/>
      <c r="Z83" s="172" t="s">
        <v>558</v>
      </c>
      <c r="AA83" s="175">
        <v>317</v>
      </c>
      <c r="AB83" s="175">
        <v>0.09</v>
      </c>
      <c r="AC83" s="175" t="s">
        <v>159</v>
      </c>
      <c r="AD83" s="85" t="s">
        <v>551</v>
      </c>
    </row>
    <row r="84" spans="1:30" ht="15">
      <c r="A84" s="3" t="s">
        <v>420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172" t="s">
        <v>559</v>
      </c>
      <c r="AA84" s="175">
        <v>317</v>
      </c>
      <c r="AB84" s="175">
        <v>0.09</v>
      </c>
      <c r="AC84" s="175" t="s">
        <v>208</v>
      </c>
      <c r="AD84" s="85" t="s">
        <v>567</v>
      </c>
    </row>
    <row r="85" spans="1:30" ht="15">
      <c r="A85" s="2" t="s">
        <v>421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172" t="s">
        <v>574</v>
      </c>
      <c r="AA85" s="175">
        <v>317</v>
      </c>
      <c r="AB85" s="175">
        <v>0.105</v>
      </c>
      <c r="AC85" s="175" t="s">
        <v>159</v>
      </c>
      <c r="AD85" s="85"/>
    </row>
    <row r="86" spans="1:30" ht="15">
      <c r="A86" s="2"/>
      <c r="J86" s="94" t="s">
        <v>70</v>
      </c>
      <c r="K86" s="14">
        <f>IF(OR(FEDM="S",FEDM="H"),VLOOKUP(K70,FTXTBLSH1,2),IF(FEDM="M",VLOOKUP(K70,FTXTBLM1,2),0))</f>
        <v>0.15</v>
      </c>
      <c r="L86" s="20"/>
      <c r="M86" s="93"/>
      <c r="T86" s="20"/>
      <c r="Z86" s="172" t="s">
        <v>598</v>
      </c>
      <c r="AA86" s="175">
        <v>317</v>
      </c>
      <c r="AB86" s="175">
        <v>0.135</v>
      </c>
      <c r="AC86" s="175" t="s">
        <v>208</v>
      </c>
      <c r="AD86" s="85"/>
    </row>
    <row r="87" spans="1:30" ht="15">
      <c r="A87" s="150" t="s">
        <v>426</v>
      </c>
      <c r="J87" s="94" t="s">
        <v>71</v>
      </c>
      <c r="K87" s="14">
        <f>IF(OR(FEDM="S",FEDM="H"),VLOOKUP(K71,FTXTBLSH1,2),IF(FEDM="M",VLOOKUP(K71,FTXTBLM1,2),0))</f>
        <v>0.15</v>
      </c>
      <c r="L87" s="20"/>
      <c r="M87" s="93"/>
      <c r="T87" s="20"/>
      <c r="Z87" s="172" t="s">
        <v>599</v>
      </c>
      <c r="AA87" s="175">
        <v>317</v>
      </c>
      <c r="AB87" s="175">
        <v>0.135</v>
      </c>
      <c r="AC87" s="175" t="s">
        <v>159</v>
      </c>
      <c r="AD87" s="179" t="s">
        <v>553</v>
      </c>
    </row>
    <row r="88" spans="1:30" ht="15">
      <c r="A88" s="2" t="s">
        <v>427</v>
      </c>
      <c r="J88" s="94" t="s">
        <v>72</v>
      </c>
      <c r="K88" s="14">
        <f>IF(OR(FEDM="S",FEDM="H"),VLOOKUP(K72,FTXTBLSH1,2),IF(FEDM="M",VLOOKUP(K72,FTXTBLM1,2),0))</f>
        <v>0.15</v>
      </c>
      <c r="L88" s="20"/>
      <c r="M88" s="93"/>
      <c r="T88" s="20"/>
      <c r="Z88" s="21" t="s">
        <v>485</v>
      </c>
      <c r="AA88" s="174">
        <v>317</v>
      </c>
      <c r="AB88" s="174">
        <v>0.11</v>
      </c>
      <c r="AC88" s="174" t="s">
        <v>208</v>
      </c>
      <c r="AD88" s="179" t="s">
        <v>553</v>
      </c>
    </row>
    <row r="89" spans="1:30" ht="15">
      <c r="A89" s="2"/>
      <c r="J89" s="15"/>
      <c r="T89" s="20"/>
      <c r="Z89" s="21" t="s">
        <v>486</v>
      </c>
      <c r="AA89" s="174">
        <v>317</v>
      </c>
      <c r="AB89" s="174">
        <v>0.11</v>
      </c>
      <c r="AC89" s="174" t="s">
        <v>159</v>
      </c>
      <c r="AD89" s="179" t="s">
        <v>553</v>
      </c>
    </row>
    <row r="90" spans="1:30" ht="15">
      <c r="A90" s="150" t="s">
        <v>608</v>
      </c>
      <c r="J90" s="94" t="s">
        <v>73</v>
      </c>
      <c r="M90" s="93"/>
      <c r="T90" s="20"/>
      <c r="Z90" s="21" t="s">
        <v>487</v>
      </c>
      <c r="AA90" s="174">
        <v>513</v>
      </c>
      <c r="AB90" s="174">
        <v>0.1</v>
      </c>
      <c r="AC90" s="174" t="s">
        <v>209</v>
      </c>
      <c r="AD90" s="179" t="s">
        <v>553</v>
      </c>
    </row>
    <row r="91" spans="1:30" ht="15">
      <c r="A91" s="2" t="s">
        <v>622</v>
      </c>
      <c r="J91" s="94" t="s">
        <v>74</v>
      </c>
      <c r="K91" s="14">
        <f>IF(OR(FEDM="S",FEDM="H"),VLOOKUP(FTG1,FTXTBLSH1,3),IF(FEDM="M",VLOOKUP(FTG1,FTXTBLM1,3),0))</f>
        <v>1700</v>
      </c>
      <c r="L91" s="20"/>
      <c r="M91" s="93"/>
      <c r="T91" s="20"/>
      <c r="Z91" s="21" t="s">
        <v>488</v>
      </c>
      <c r="AA91" s="174">
        <v>513</v>
      </c>
      <c r="AB91" s="174">
        <v>0.1</v>
      </c>
      <c r="AC91" s="174" t="s">
        <v>209</v>
      </c>
      <c r="AD91" s="179" t="s">
        <v>553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489</v>
      </c>
      <c r="AA92" s="174">
        <v>513</v>
      </c>
      <c r="AB92" s="174">
        <v>0.1</v>
      </c>
      <c r="AC92" s="174" t="s">
        <v>209</v>
      </c>
      <c r="AD92" s="179" t="s">
        <v>553</v>
      </c>
    </row>
    <row r="93" spans="1:30" ht="15">
      <c r="A93" s="150" t="s">
        <v>609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490</v>
      </c>
      <c r="AA93" s="174">
        <v>513</v>
      </c>
      <c r="AB93" s="174">
        <v>0.1</v>
      </c>
      <c r="AC93" s="174" t="s">
        <v>209</v>
      </c>
      <c r="AD93" s="179" t="s">
        <v>553</v>
      </c>
    </row>
    <row r="94" spans="1:30" ht="15">
      <c r="A94" s="2" t="s">
        <v>610</v>
      </c>
      <c r="J94" s="94" t="s">
        <v>77</v>
      </c>
      <c r="K94" s="14">
        <f>IF(OR(FEDM="S",FEDM="H"),VLOOKUP(K70,FTXTBLSH1,3),IF(FEDM="M",VLOOKUP(K70,FTXTBLM1,3),0))</f>
        <v>1700</v>
      </c>
      <c r="L94" s="20"/>
      <c r="M94" s="93"/>
      <c r="T94" s="20"/>
      <c r="Z94" s="21" t="s">
        <v>491</v>
      </c>
      <c r="AA94" s="174">
        <v>513</v>
      </c>
      <c r="AB94" s="174">
        <v>0.1</v>
      </c>
      <c r="AC94" s="174" t="s">
        <v>209</v>
      </c>
      <c r="AD94" s="179" t="s">
        <v>553</v>
      </c>
    </row>
    <row r="95" spans="1:30" ht="15">
      <c r="A95" s="2" t="s">
        <v>611</v>
      </c>
      <c r="J95" s="94" t="s">
        <v>79</v>
      </c>
      <c r="K95" s="14">
        <f>IF(OR(FEDM="S",FEDM="H"),VLOOKUP(K71,FTXTBLSH1,3),IF(FEDM="M",VLOOKUP(K71,FTXTBLM1,3),0))</f>
        <v>1700</v>
      </c>
      <c r="L95" s="20"/>
      <c r="M95" s="93"/>
      <c r="T95" s="20"/>
      <c r="Z95" s="21" t="s">
        <v>492</v>
      </c>
      <c r="AA95" s="174">
        <v>513</v>
      </c>
      <c r="AB95" s="174">
        <v>0.1</v>
      </c>
      <c r="AC95" s="174" t="s">
        <v>209</v>
      </c>
      <c r="AD95" s="179" t="s">
        <v>589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1700</v>
      </c>
      <c r="L96" s="20"/>
      <c r="M96" s="93"/>
      <c r="T96" s="20"/>
      <c r="Z96" s="21" t="s">
        <v>588</v>
      </c>
      <c r="AA96" s="174">
        <v>513</v>
      </c>
      <c r="AB96" s="174">
        <v>0.095</v>
      </c>
      <c r="AC96" s="174" t="s">
        <v>209</v>
      </c>
      <c r="AD96" s="179" t="s">
        <v>553</v>
      </c>
    </row>
    <row r="97" spans="1:30" ht="15">
      <c r="A97" s="150" t="s">
        <v>612</v>
      </c>
      <c r="J97" s="15"/>
      <c r="T97" s="20"/>
      <c r="Z97" s="21" t="s">
        <v>493</v>
      </c>
      <c r="AA97" s="174">
        <v>513</v>
      </c>
      <c r="AB97" s="174">
        <v>0.1</v>
      </c>
      <c r="AC97" s="174" t="s">
        <v>209</v>
      </c>
      <c r="AD97" s="179" t="s">
        <v>553</v>
      </c>
    </row>
    <row r="98" spans="1:30" ht="15">
      <c r="A98" s="2" t="s">
        <v>613</v>
      </c>
      <c r="J98" s="94" t="s">
        <v>85</v>
      </c>
      <c r="M98" s="93"/>
      <c r="T98" s="20"/>
      <c r="Z98" s="21" t="s">
        <v>519</v>
      </c>
      <c r="AA98" s="174">
        <v>317</v>
      </c>
      <c r="AB98" s="174">
        <v>0.09</v>
      </c>
      <c r="AC98" s="174" t="s">
        <v>208</v>
      </c>
      <c r="AD98" s="179" t="s">
        <v>553</v>
      </c>
    </row>
    <row r="99" spans="1:30" ht="15">
      <c r="A99" s="2" t="s">
        <v>614</v>
      </c>
      <c r="J99" s="94" t="s">
        <v>87</v>
      </c>
      <c r="K99" s="14">
        <f>ROUND(FTG1-FBSA1,2)</f>
        <v>17869.44</v>
      </c>
      <c r="L99" s="20"/>
      <c r="M99" s="93"/>
      <c r="T99" s="20"/>
      <c r="Z99" s="21" t="s">
        <v>494</v>
      </c>
      <c r="AA99" s="174">
        <v>513</v>
      </c>
      <c r="AB99" s="174">
        <v>0.1</v>
      </c>
      <c r="AC99" s="174" t="s">
        <v>209</v>
      </c>
      <c r="AD99" s="179" t="s">
        <v>584</v>
      </c>
    </row>
    <row r="100" spans="1:30" ht="15">
      <c r="A100" s="150"/>
      <c r="J100" s="94" t="s">
        <v>88</v>
      </c>
      <c r="K100" s="147">
        <f>ROUND(K68-K76,2)</f>
        <v>999999</v>
      </c>
      <c r="L100" s="20"/>
      <c r="M100" s="93"/>
      <c r="Z100" s="21" t="s">
        <v>521</v>
      </c>
      <c r="AA100" s="174">
        <v>513</v>
      </c>
      <c r="AB100" s="174">
        <v>0.08</v>
      </c>
      <c r="AC100" s="174" t="s">
        <v>209</v>
      </c>
      <c r="AD100" s="9" t="s">
        <v>4</v>
      </c>
    </row>
    <row r="101" spans="1:30" ht="15">
      <c r="A101" s="150" t="s">
        <v>615</v>
      </c>
      <c r="J101" s="94" t="s">
        <v>89</v>
      </c>
      <c r="K101" s="14">
        <f>(K69-K77)</f>
        <v>999999</v>
      </c>
      <c r="L101" s="20"/>
      <c r="M101" s="93"/>
      <c r="Z101" s="21" t="s">
        <v>606</v>
      </c>
      <c r="AA101" s="174">
        <v>513</v>
      </c>
      <c r="AB101" s="174">
        <v>0.125</v>
      </c>
      <c r="AC101" s="174" t="s">
        <v>209</v>
      </c>
      <c r="AD101" s="179" t="s">
        <v>584</v>
      </c>
    </row>
    <row r="102" spans="1:30" ht="15">
      <c r="A102" s="2" t="s">
        <v>616</v>
      </c>
      <c r="J102" s="94" t="s">
        <v>90</v>
      </c>
      <c r="K102" s="14">
        <f>(K70-K78)</f>
        <v>23100</v>
      </c>
      <c r="L102" s="20"/>
      <c r="M102" s="93"/>
      <c r="T102" s="20"/>
      <c r="Z102" s="21" t="s">
        <v>495</v>
      </c>
      <c r="AA102" s="174">
        <v>513</v>
      </c>
      <c r="AB102" s="174">
        <v>0.1</v>
      </c>
      <c r="AC102" s="174" t="s">
        <v>209</v>
      </c>
      <c r="AD102" s="85" t="s">
        <v>567</v>
      </c>
    </row>
    <row r="103" spans="1:30" ht="15">
      <c r="A103" s="2" t="s">
        <v>617</v>
      </c>
      <c r="J103" s="94" t="s">
        <v>91</v>
      </c>
      <c r="K103" s="14">
        <f>(K71-K79)</f>
        <v>23100</v>
      </c>
      <c r="L103" s="20"/>
      <c r="M103" s="93"/>
      <c r="T103" s="20"/>
      <c r="Z103" s="172" t="s">
        <v>566</v>
      </c>
      <c r="AA103" s="175">
        <v>317</v>
      </c>
      <c r="AB103" s="175">
        <v>0.105</v>
      </c>
      <c r="AC103" s="175" t="s">
        <v>208</v>
      </c>
      <c r="AD103" s="179" t="s">
        <v>584</v>
      </c>
    </row>
    <row r="104" spans="1:30" ht="15">
      <c r="A104" s="2"/>
      <c r="J104" s="94" t="s">
        <v>92</v>
      </c>
      <c r="K104" s="14">
        <f>(K72-K80)</f>
        <v>23100</v>
      </c>
      <c r="L104" s="20"/>
      <c r="M104" s="93"/>
      <c r="T104" s="20"/>
      <c r="Z104" s="21" t="s">
        <v>522</v>
      </c>
      <c r="AA104" s="174">
        <v>513</v>
      </c>
      <c r="AB104" s="174">
        <v>0.08</v>
      </c>
      <c r="AC104" s="174" t="s">
        <v>209</v>
      </c>
      <c r="AD104" s="179" t="s">
        <v>551</v>
      </c>
    </row>
    <row r="105" spans="1:30" ht="15">
      <c r="A105" s="150" t="s">
        <v>618</v>
      </c>
      <c r="J105" s="15"/>
      <c r="T105" s="20"/>
      <c r="Z105" s="21" t="s">
        <v>549</v>
      </c>
      <c r="AA105" s="174">
        <v>317</v>
      </c>
      <c r="AB105" s="174">
        <v>0.09</v>
      </c>
      <c r="AC105" s="174" t="s">
        <v>208</v>
      </c>
      <c r="AD105" s="179" t="s">
        <v>551</v>
      </c>
    </row>
    <row r="106" spans="1:30" ht="15">
      <c r="A106" s="4" t="s">
        <v>619</v>
      </c>
      <c r="J106" s="94" t="s">
        <v>93</v>
      </c>
      <c r="M106" s="93"/>
      <c r="T106" s="20"/>
      <c r="Z106" s="21" t="s">
        <v>550</v>
      </c>
      <c r="AA106" s="174">
        <v>317</v>
      </c>
      <c r="AB106" s="174">
        <v>0.09</v>
      </c>
      <c r="AC106" s="174" t="s">
        <v>159</v>
      </c>
      <c r="AD106" s="179" t="s">
        <v>584</v>
      </c>
    </row>
    <row r="107" spans="1:30" ht="15">
      <c r="A107" s="4" t="s">
        <v>620</v>
      </c>
      <c r="J107" s="94" t="s">
        <v>94</v>
      </c>
      <c r="K107" s="48">
        <f>(FBST1+ROUND(FOVR1*FMTR1,5))</f>
        <v>4380.416</v>
      </c>
      <c r="L107" s="20"/>
      <c r="M107" s="93"/>
      <c r="T107" s="20"/>
      <c r="Z107" s="21" t="s">
        <v>520</v>
      </c>
      <c r="AA107" s="174">
        <v>317</v>
      </c>
      <c r="AB107" s="174">
        <v>0.09</v>
      </c>
      <c r="AC107" s="174" t="s">
        <v>159</v>
      </c>
      <c r="AD107" s="85" t="s">
        <v>567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172" t="s">
        <v>568</v>
      </c>
      <c r="AA108" s="175">
        <v>513</v>
      </c>
      <c r="AB108" s="175">
        <v>0.09</v>
      </c>
      <c r="AC108" s="175" t="s">
        <v>209</v>
      </c>
      <c r="AD108" s="85" t="s">
        <v>567</v>
      </c>
    </row>
    <row r="109" spans="1:30" ht="15">
      <c r="A109" s="150" t="s">
        <v>428</v>
      </c>
      <c r="J109" s="94" t="s">
        <v>96</v>
      </c>
      <c r="K109" s="48">
        <f>(K93+ROUND(K101*FMTR3,5))</f>
        <v>0</v>
      </c>
      <c r="L109" s="20"/>
      <c r="M109" s="93"/>
      <c r="Z109" s="172" t="s">
        <v>569</v>
      </c>
      <c r="AA109" s="175">
        <v>513</v>
      </c>
      <c r="AB109" s="175">
        <v>0.05</v>
      </c>
      <c r="AC109" s="175" t="s">
        <v>209</v>
      </c>
      <c r="AD109" s="85" t="s">
        <v>551</v>
      </c>
    </row>
    <row r="110" spans="1:30" ht="15">
      <c r="A110" s="2" t="s">
        <v>429</v>
      </c>
      <c r="J110" s="94" t="s">
        <v>97</v>
      </c>
      <c r="K110" s="48">
        <f>(K94+ROUND(K102*FMTR4,5))</f>
        <v>5165</v>
      </c>
      <c r="L110" s="20"/>
      <c r="M110" s="93"/>
      <c r="T110" s="20"/>
      <c r="Z110" s="172" t="s">
        <v>554</v>
      </c>
      <c r="AA110" s="175">
        <v>513</v>
      </c>
      <c r="AB110" s="175">
        <v>0.08</v>
      </c>
      <c r="AC110" s="175" t="s">
        <v>209</v>
      </c>
      <c r="AD110" s="9" t="s">
        <v>4</v>
      </c>
    </row>
    <row r="111" spans="1:30" ht="15">
      <c r="A111" s="2"/>
      <c r="J111" s="94" t="s">
        <v>98</v>
      </c>
      <c r="K111" s="48">
        <f>(K95+ROUND(K103*FMTR5,5))</f>
        <v>5165</v>
      </c>
      <c r="L111" s="20"/>
      <c r="M111" s="93"/>
      <c r="T111" s="20"/>
      <c r="Z111" s="21" t="s">
        <v>211</v>
      </c>
      <c r="AA111" s="174">
        <v>238</v>
      </c>
      <c r="AB111" s="174">
        <v>0.06</v>
      </c>
      <c r="AC111" s="174" t="s">
        <v>208</v>
      </c>
      <c r="AD111" s="9" t="s">
        <v>4</v>
      </c>
    </row>
    <row r="112" spans="1:30" ht="15">
      <c r="A112" s="2" t="s">
        <v>432</v>
      </c>
      <c r="J112" s="94" t="s">
        <v>311</v>
      </c>
      <c r="K112" s="48">
        <f>(K96+ROUND(K104*FMTR6,5))</f>
        <v>5165</v>
      </c>
      <c r="L112" s="20"/>
      <c r="M112" s="93"/>
      <c r="T112" s="20"/>
      <c r="Z112" s="21" t="s">
        <v>212</v>
      </c>
      <c r="AA112" s="174">
        <v>238</v>
      </c>
      <c r="AB112" s="174">
        <v>0.06</v>
      </c>
      <c r="AC112" s="174" t="s">
        <v>159</v>
      </c>
      <c r="AD112" s="9" t="s">
        <v>4</v>
      </c>
    </row>
    <row r="113" spans="1:30" ht="15">
      <c r="A113" s="2" t="s">
        <v>433</v>
      </c>
      <c r="J113" s="15"/>
      <c r="T113" s="20"/>
      <c r="Z113" s="21" t="s">
        <v>213</v>
      </c>
      <c r="AA113" s="174">
        <v>863</v>
      </c>
      <c r="AB113" s="174">
        <v>0.11</v>
      </c>
      <c r="AC113" s="174" t="s">
        <v>208</v>
      </c>
      <c r="AD113" s="9" t="s">
        <v>4</v>
      </c>
    </row>
    <row r="114" spans="1:30" ht="15">
      <c r="A114" s="2" t="s">
        <v>621</v>
      </c>
      <c r="J114" s="94" t="s">
        <v>99</v>
      </c>
      <c r="M114" s="93"/>
      <c r="T114" s="20"/>
      <c r="Z114" s="21" t="s">
        <v>214</v>
      </c>
      <c r="AA114" s="174">
        <v>863</v>
      </c>
      <c r="AB114" s="174">
        <v>0.11</v>
      </c>
      <c r="AC114" s="174" t="s">
        <v>159</v>
      </c>
      <c r="AD114" s="179" t="s">
        <v>553</v>
      </c>
    </row>
    <row r="115" spans="1:30" ht="15">
      <c r="A115" s="2"/>
      <c r="J115" s="94" t="s">
        <v>100</v>
      </c>
      <c r="K115" s="14">
        <f>ROUND(FTA1/PAYFACT,2)</f>
        <v>365.03</v>
      </c>
      <c r="L115" s="20"/>
      <c r="M115" s="93"/>
      <c r="T115" s="20"/>
      <c r="Z115" s="21" t="s">
        <v>496</v>
      </c>
      <c r="AA115" s="174">
        <v>238</v>
      </c>
      <c r="AB115" s="174">
        <v>0.1</v>
      </c>
      <c r="AC115" s="174" t="s">
        <v>208</v>
      </c>
      <c r="AD115" s="179" t="s">
        <v>553</v>
      </c>
    </row>
    <row r="116" spans="1:30" ht="15">
      <c r="A116" s="2" t="s">
        <v>430</v>
      </c>
      <c r="J116" s="94" t="s">
        <v>101</v>
      </c>
      <c r="K116" s="14">
        <f>ROUND(K108/PAYFACT,2)</f>
        <v>0</v>
      </c>
      <c r="L116" s="20"/>
      <c r="M116" s="93"/>
      <c r="Z116" s="21" t="s">
        <v>497</v>
      </c>
      <c r="AA116" s="174">
        <v>238</v>
      </c>
      <c r="AB116" s="174">
        <v>0.1</v>
      </c>
      <c r="AC116" s="174" t="s">
        <v>159</v>
      </c>
      <c r="AD116" s="85" t="s">
        <v>567</v>
      </c>
    </row>
    <row r="117" spans="1:30" ht="15">
      <c r="A117" s="2" t="s">
        <v>431</v>
      </c>
      <c r="J117" s="94" t="s">
        <v>102</v>
      </c>
      <c r="K117" s="14">
        <f>ROUND(K109/PAYFACT,2)</f>
        <v>0</v>
      </c>
      <c r="L117" s="20"/>
      <c r="M117" s="93"/>
      <c r="Z117" s="172" t="s">
        <v>576</v>
      </c>
      <c r="AA117" s="175">
        <v>863</v>
      </c>
      <c r="AB117" s="175">
        <v>0.11</v>
      </c>
      <c r="AC117" s="175" t="s">
        <v>208</v>
      </c>
      <c r="AD117" s="85" t="s">
        <v>567</v>
      </c>
    </row>
    <row r="118" spans="1:30" ht="15">
      <c r="A118" s="2"/>
      <c r="J118" s="94" t="s">
        <v>103</v>
      </c>
      <c r="K118" s="14">
        <f>ROUND(K110/PAYFACT,2)</f>
        <v>430.42</v>
      </c>
      <c r="L118" s="20"/>
      <c r="M118" s="93"/>
      <c r="Z118" s="172" t="s">
        <v>577</v>
      </c>
      <c r="AA118" s="175">
        <v>863</v>
      </c>
      <c r="AB118" s="175">
        <v>0.11</v>
      </c>
      <c r="AC118" s="175" t="s">
        <v>159</v>
      </c>
      <c r="AD118" s="85"/>
    </row>
    <row r="119" spans="1:30" ht="15">
      <c r="A119" s="150" t="s">
        <v>408</v>
      </c>
      <c r="J119" s="94" t="s">
        <v>104</v>
      </c>
      <c r="K119" s="14">
        <f>ROUND(K111/PAYFACT,2)</f>
        <v>430.42</v>
      </c>
      <c r="L119" s="20"/>
      <c r="M119" s="93"/>
      <c r="Z119" s="172" t="s">
        <v>592</v>
      </c>
      <c r="AA119" s="175">
        <v>863</v>
      </c>
      <c r="AB119" s="175">
        <v>0.125</v>
      </c>
      <c r="AC119" s="175" t="s">
        <v>208</v>
      </c>
      <c r="AD119" s="85"/>
    </row>
    <row r="120" spans="1:30" ht="15">
      <c r="A120" s="2"/>
      <c r="J120" s="94" t="s">
        <v>105</v>
      </c>
      <c r="K120" s="14">
        <f>ROUND(K112/PAYFACT,2)</f>
        <v>430.42</v>
      </c>
      <c r="L120" s="20"/>
      <c r="M120" s="93"/>
      <c r="T120" s="20"/>
      <c r="Z120" s="172" t="s">
        <v>593</v>
      </c>
      <c r="AA120" s="175">
        <v>863</v>
      </c>
      <c r="AB120" s="175">
        <v>0.125</v>
      </c>
      <c r="AC120" s="175" t="s">
        <v>159</v>
      </c>
      <c r="AD120" s="85"/>
    </row>
    <row r="121" spans="1:30" ht="15">
      <c r="A121" s="150" t="s">
        <v>370</v>
      </c>
      <c r="J121" s="15"/>
      <c r="T121" s="20"/>
      <c r="Z121" s="172" t="s">
        <v>594</v>
      </c>
      <c r="AA121" s="175">
        <v>863</v>
      </c>
      <c r="AB121" s="175">
        <v>0.125</v>
      </c>
      <c r="AC121" s="175" t="s">
        <v>208</v>
      </c>
      <c r="AD121" s="85"/>
    </row>
    <row r="122" spans="1:30" ht="15">
      <c r="A122" s="2"/>
      <c r="J122" s="94" t="s">
        <v>106</v>
      </c>
      <c r="M122" s="93"/>
      <c r="T122" s="20"/>
      <c r="Z122" s="172" t="s">
        <v>595</v>
      </c>
      <c r="AA122" s="175">
        <v>863</v>
      </c>
      <c r="AB122" s="175">
        <v>0.125</v>
      </c>
      <c r="AC122" s="175" t="s">
        <v>159</v>
      </c>
      <c r="AD122" s="85" t="s">
        <v>567</v>
      </c>
    </row>
    <row r="123" spans="1:30" ht="15">
      <c r="A123" s="2" t="s">
        <v>409</v>
      </c>
      <c r="J123" s="94" t="s">
        <v>107</v>
      </c>
      <c r="K123" s="14">
        <f>IF(STM="S",LIES1,IF(AND(STM="M",STE&lt;2),LIEM1,IF(AND(STM="M",STE&gt;=2),LIEM2,IF(STM="H",LIEH1,99999))))</f>
        <v>12182</v>
      </c>
      <c r="L123" s="20"/>
      <c r="M123" s="93"/>
      <c r="T123" s="20"/>
      <c r="Z123" s="172" t="s">
        <v>578</v>
      </c>
      <c r="AA123" s="175">
        <v>513</v>
      </c>
      <c r="AB123" s="175">
        <v>0.1</v>
      </c>
      <c r="AC123" s="175" t="s">
        <v>208</v>
      </c>
      <c r="AD123" s="85" t="s">
        <v>567</v>
      </c>
    </row>
    <row r="124" spans="1:30" ht="15">
      <c r="A124" s="2"/>
      <c r="J124" s="94" t="s">
        <v>464</v>
      </c>
      <c r="K124" s="14">
        <f>(STA*SADDALL1)</f>
        <v>0</v>
      </c>
      <c r="L124" s="20"/>
      <c r="M124" s="93"/>
      <c r="T124" s="20"/>
      <c r="Z124" s="172" t="s">
        <v>579</v>
      </c>
      <c r="AA124" s="175">
        <v>513</v>
      </c>
      <c r="AB124" s="175">
        <v>0.1</v>
      </c>
      <c r="AC124" s="175" t="s">
        <v>159</v>
      </c>
      <c r="AD124" s="9" t="s">
        <v>4</v>
      </c>
    </row>
    <row r="125" spans="1:30" ht="15">
      <c r="A125" s="2" t="s">
        <v>348</v>
      </c>
      <c r="J125" s="94" t="s">
        <v>465</v>
      </c>
      <c r="K125" s="14">
        <f>IF(STM="S",SDS1,IF(AND(STM="M",STE&lt;2),SDM1,IF(AND(STM="M",STE&gt;=2),SDM2,IF(STM="H",SDH1,0))))</f>
        <v>3670</v>
      </c>
      <c r="L125" s="20"/>
      <c r="M125" s="93"/>
      <c r="T125" s="20"/>
      <c r="Z125" s="21" t="s">
        <v>215</v>
      </c>
      <c r="AA125" s="174">
        <v>513</v>
      </c>
      <c r="AB125" s="174">
        <v>0.08</v>
      </c>
      <c r="AC125" s="174" t="s">
        <v>209</v>
      </c>
      <c r="AD125" s="9" t="s">
        <v>4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0</v>
      </c>
      <c r="L126" s="20"/>
      <c r="M126" s="93"/>
      <c r="T126" s="20"/>
      <c r="Z126" s="21" t="s">
        <v>216</v>
      </c>
      <c r="AA126" s="174">
        <v>513</v>
      </c>
      <c r="AB126" s="174">
        <v>0.05</v>
      </c>
      <c r="AC126" s="174" t="s">
        <v>209</v>
      </c>
      <c r="AD126" s="9" t="s">
        <v>4</v>
      </c>
    </row>
    <row r="127" spans="1:30" ht="15">
      <c r="A127" s="2" t="s">
        <v>374</v>
      </c>
      <c r="J127" s="94" t="s">
        <v>466</v>
      </c>
      <c r="K127" s="14">
        <f>IF(STE&lt;3,0,STE-2)</f>
        <v>0</v>
      </c>
      <c r="L127" s="20"/>
      <c r="M127" s="93"/>
      <c r="Z127" s="21" t="s">
        <v>217</v>
      </c>
      <c r="AA127" s="174">
        <v>317</v>
      </c>
      <c r="AB127" s="174">
        <v>0.06</v>
      </c>
      <c r="AC127" s="174" t="s">
        <v>208</v>
      </c>
      <c r="AD127" s="9" t="s">
        <v>4</v>
      </c>
    </row>
    <row r="128" spans="10:30" ht="12.75">
      <c r="J128" s="94" t="s">
        <v>109</v>
      </c>
      <c r="K128" s="14">
        <f>IF(STM="S",TCRS3,TCRM3)</f>
        <v>108.9</v>
      </c>
      <c r="L128" s="20"/>
      <c r="M128" s="93"/>
      <c r="T128" s="20"/>
      <c r="Z128" s="21" t="s">
        <v>218</v>
      </c>
      <c r="AA128" s="174">
        <v>0</v>
      </c>
      <c r="AB128" s="174">
        <v>0</v>
      </c>
      <c r="AC128" s="174" t="s">
        <v>209</v>
      </c>
      <c r="AD128" s="9" t="s">
        <v>4</v>
      </c>
    </row>
    <row r="129" spans="10:30" ht="12.75">
      <c r="J129" s="94" t="s">
        <v>110</v>
      </c>
      <c r="K129" s="14">
        <f>(TXCRB+(TXCROV*TXCRR))</f>
        <v>0</v>
      </c>
      <c r="L129" s="20"/>
      <c r="M129" s="93"/>
      <c r="T129" s="20"/>
      <c r="Z129" s="21" t="s">
        <v>219</v>
      </c>
      <c r="AA129" s="174">
        <v>0</v>
      </c>
      <c r="AB129" s="174">
        <v>0</v>
      </c>
      <c r="AC129" s="174" t="s">
        <v>209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220</v>
      </c>
      <c r="AA130" s="174">
        <v>0</v>
      </c>
      <c r="AB130" s="174">
        <v>0</v>
      </c>
      <c r="AC130" s="174" t="s">
        <v>209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221</v>
      </c>
      <c r="AA131" s="174">
        <v>513</v>
      </c>
      <c r="AB131" s="174">
        <v>0.09</v>
      </c>
      <c r="AC131" s="174" t="s">
        <v>209</v>
      </c>
      <c r="AD131" s="9" t="s">
        <v>4</v>
      </c>
    </row>
    <row r="132" spans="10:30" ht="12.75">
      <c r="J132" s="94" t="s">
        <v>112</v>
      </c>
      <c r="K132" s="14">
        <f>IF((PAYFACT*TG1)-ADDALLOW1-SDED1&lt;=0,0,(PAYFACT*TG1)-ADDALLOW1-SDED1)</f>
        <v>39099.44</v>
      </c>
      <c r="L132" s="20"/>
      <c r="M132" s="93"/>
      <c r="T132" s="20"/>
      <c r="Z132" s="21" t="s">
        <v>222</v>
      </c>
      <c r="AA132" s="174">
        <v>513</v>
      </c>
      <c r="AB132" s="174">
        <v>0.09</v>
      </c>
      <c r="AC132" s="174" t="s">
        <v>209</v>
      </c>
      <c r="AD132" s="9" t="s">
        <v>4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223</v>
      </c>
      <c r="AA133" s="174">
        <v>513</v>
      </c>
      <c r="AB133" s="174">
        <v>0</v>
      </c>
      <c r="AC133" s="174" t="s">
        <v>159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224</v>
      </c>
      <c r="AA134" s="174">
        <v>317</v>
      </c>
      <c r="AB134" s="174">
        <v>0.07</v>
      </c>
      <c r="AC134" s="174" t="s">
        <v>208</v>
      </c>
      <c r="AD134" s="9" t="s">
        <v>4</v>
      </c>
    </row>
    <row r="135" spans="10:30" ht="12.75">
      <c r="J135" s="94" t="s">
        <v>115</v>
      </c>
      <c r="K135" s="14">
        <f>IF((PAYFACT*TG4)-ADDALLOW1-SDED1&lt;=0,0,(PAYFACT*TG4)-ADDALLOW1-SDED1)</f>
        <v>44330</v>
      </c>
      <c r="L135" s="20"/>
      <c r="M135" s="93"/>
      <c r="Z135" s="21" t="s">
        <v>225</v>
      </c>
      <c r="AA135" s="174">
        <v>513</v>
      </c>
      <c r="AB135" s="174">
        <v>0.05</v>
      </c>
      <c r="AC135" s="174" t="s">
        <v>209</v>
      </c>
      <c r="AD135" s="179" t="s">
        <v>553</v>
      </c>
    </row>
    <row r="136" spans="10:30" ht="12.75">
      <c r="J136" s="94" t="s">
        <v>116</v>
      </c>
      <c r="K136" s="14">
        <f>IF((PAYFACT*TG5)-ADDALLOW1-SDED1&lt;=0,0,(PAYFACT*TG5)-ADDALLOW1-SDED1)</f>
        <v>44330</v>
      </c>
      <c r="L136" s="20"/>
      <c r="M136" s="93"/>
      <c r="T136" s="20"/>
      <c r="Z136" s="21" t="s">
        <v>498</v>
      </c>
      <c r="AA136" s="174">
        <v>317</v>
      </c>
      <c r="AB136" s="174">
        <v>0.11</v>
      </c>
      <c r="AC136" s="174" t="s">
        <v>208</v>
      </c>
      <c r="AD136" s="179" t="s">
        <v>553</v>
      </c>
    </row>
    <row r="137" spans="10:30" ht="12.75">
      <c r="J137" s="94" t="s">
        <v>117</v>
      </c>
      <c r="K137" s="14">
        <f>IF((PAYFACT*TG6)-ADDALLOW1-SDED1&lt;=0,0,(PAYFACT*TG6)-ADDALLOW1-SDED1)</f>
        <v>44330</v>
      </c>
      <c r="L137" s="20"/>
      <c r="M137" s="93"/>
      <c r="T137" s="20"/>
      <c r="Z137" s="21" t="s">
        <v>499</v>
      </c>
      <c r="AA137" s="174">
        <v>317</v>
      </c>
      <c r="AB137" s="174">
        <v>0.11</v>
      </c>
      <c r="AC137" s="174" t="s">
        <v>159</v>
      </c>
      <c r="AD137" s="9" t="s">
        <v>4</v>
      </c>
    </row>
    <row r="138" spans="10:30" ht="12.75">
      <c r="J138" s="15"/>
      <c r="T138" s="20"/>
      <c r="Z138" s="21" t="s">
        <v>226</v>
      </c>
      <c r="AA138" s="174">
        <v>513</v>
      </c>
      <c r="AB138" s="174">
        <v>0.05</v>
      </c>
      <c r="AC138" s="174" t="s">
        <v>209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227</v>
      </c>
      <c r="AA139" s="174">
        <v>0</v>
      </c>
      <c r="AB139" s="174">
        <v>0</v>
      </c>
      <c r="AC139" s="174" t="s">
        <v>209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33780</v>
      </c>
      <c r="L140" s="20"/>
      <c r="M140" s="93"/>
      <c r="T140" s="20"/>
      <c r="Z140" s="21" t="s">
        <v>228</v>
      </c>
      <c r="AA140" s="174">
        <v>0</v>
      </c>
      <c r="AB140" s="174">
        <v>0</v>
      </c>
      <c r="AC140" s="174" t="s">
        <v>209</v>
      </c>
      <c r="AD140" s="9" t="s">
        <v>4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229</v>
      </c>
      <c r="AA141" s="174">
        <v>513</v>
      </c>
      <c r="AB141" s="174">
        <v>0.05</v>
      </c>
      <c r="AC141" s="174" t="s">
        <v>209</v>
      </c>
      <c r="AD141" s="9" t="s">
        <v>551</v>
      </c>
    </row>
    <row r="142" spans="10:30" ht="12.75">
      <c r="J142" s="94" t="s">
        <v>457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552</v>
      </c>
      <c r="AA142" s="174">
        <v>513</v>
      </c>
      <c r="AB142" s="174">
        <v>0.08</v>
      </c>
      <c r="AC142" s="174" t="s">
        <v>209</v>
      </c>
      <c r="AD142" s="179" t="s">
        <v>553</v>
      </c>
    </row>
    <row r="143" spans="10:30" ht="12.75">
      <c r="J143" s="94" t="s">
        <v>458</v>
      </c>
      <c r="K143" s="14">
        <f>IF(STM="S",VLOOKUP(K135,STXTBLS1,1),IF(STM="M",VLOOKUP(K135,STXTBLM1,1),IF(STM="H",VLOOKUP(K135,STXTBLH1,1),0)))</f>
        <v>33780</v>
      </c>
      <c r="L143" s="20"/>
      <c r="M143" s="93"/>
      <c r="Z143" s="21" t="s">
        <v>500</v>
      </c>
      <c r="AA143" s="174">
        <v>513</v>
      </c>
      <c r="AB143" s="174">
        <v>0.1</v>
      </c>
      <c r="AC143" s="174" t="s">
        <v>209</v>
      </c>
      <c r="AD143" s="9" t="s">
        <v>4</v>
      </c>
    </row>
    <row r="144" spans="10:30" ht="12.75">
      <c r="J144" s="94" t="s">
        <v>459</v>
      </c>
      <c r="K144" s="14">
        <f>IF(STM="S",VLOOKUP(K136,STXTBLS1,1),IF(STM="M",VLOOKUP(K136,STXTBLM1,1),IF(STM="H",VLOOKUP(K136,STXTBLH1,1),0)))</f>
        <v>33780</v>
      </c>
      <c r="L144" s="20"/>
      <c r="M144" s="93"/>
      <c r="T144" s="20"/>
      <c r="Z144" s="21" t="s">
        <v>230</v>
      </c>
      <c r="AA144" s="174">
        <v>513</v>
      </c>
      <c r="AB144" s="174">
        <v>0.05</v>
      </c>
      <c r="AC144" s="174" t="s">
        <v>209</v>
      </c>
      <c r="AD144" s="9" t="s">
        <v>4</v>
      </c>
    </row>
    <row r="145" spans="10:30" ht="12.75">
      <c r="J145" s="94" t="s">
        <v>460</v>
      </c>
      <c r="K145" s="14">
        <f>IF(STM="S",VLOOKUP(K137,STXTBLS1,1),IF(STM="M",VLOOKUP(K137,STXTBLM1,1),IF(STM="H",VLOOKUP(K137,STXTBLH1,1),0)))</f>
        <v>33780</v>
      </c>
      <c r="L145" s="20"/>
      <c r="M145" s="93"/>
      <c r="T145" s="20"/>
      <c r="Z145" s="21" t="s">
        <v>231</v>
      </c>
      <c r="AA145" s="174">
        <v>0</v>
      </c>
      <c r="AB145" s="174">
        <v>0</v>
      </c>
      <c r="AC145" s="174" t="s">
        <v>209</v>
      </c>
      <c r="AD145" s="9" t="s">
        <v>4</v>
      </c>
    </row>
    <row r="146" spans="10:30" ht="12.75">
      <c r="J146" s="15"/>
      <c r="T146" s="20"/>
      <c r="Z146" s="21" t="s">
        <v>514</v>
      </c>
      <c r="AA146" s="174">
        <v>0</v>
      </c>
      <c r="AB146" s="174">
        <v>0</v>
      </c>
      <c r="AC146" s="174" t="s">
        <v>209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232</v>
      </c>
      <c r="AA147" s="174">
        <v>513</v>
      </c>
      <c r="AB147" s="174">
        <v>0.06</v>
      </c>
      <c r="AC147" s="174" t="s">
        <v>208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0.044</v>
      </c>
      <c r="L148" s="20"/>
      <c r="M148" s="93"/>
      <c r="N148" s="148"/>
      <c r="T148" s="20"/>
      <c r="Z148" s="21" t="s">
        <v>233</v>
      </c>
      <c r="AA148" s="174">
        <v>513</v>
      </c>
      <c r="AB148" s="174">
        <v>0.06</v>
      </c>
      <c r="AC148" s="174" t="s">
        <v>159</v>
      </c>
      <c r="AD148" s="9" t="s">
        <v>4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21" t="s">
        <v>234</v>
      </c>
      <c r="AA149" s="174">
        <v>513</v>
      </c>
      <c r="AB149" s="41">
        <v>0.11</v>
      </c>
      <c r="AC149" s="174" t="s">
        <v>208</v>
      </c>
      <c r="AD149" s="9" t="s">
        <v>4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21" t="s">
        <v>235</v>
      </c>
      <c r="AA150" s="174">
        <v>513</v>
      </c>
      <c r="AB150" s="174">
        <v>0.11</v>
      </c>
      <c r="AC150" s="174" t="s">
        <v>159</v>
      </c>
      <c r="AD150" s="9" t="s">
        <v>4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0.044</v>
      </c>
      <c r="L151" s="20"/>
      <c r="M151" s="93"/>
      <c r="N151" s="148"/>
      <c r="Z151" s="21" t="s">
        <v>236</v>
      </c>
      <c r="AA151" s="174">
        <v>513</v>
      </c>
      <c r="AB151" s="41">
        <v>0.11</v>
      </c>
      <c r="AC151" s="174" t="s">
        <v>208</v>
      </c>
      <c r="AD151" s="9" t="s">
        <v>4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0.044</v>
      </c>
      <c r="L152" s="20"/>
      <c r="M152" s="93"/>
      <c r="N152" s="148"/>
      <c r="T152" s="20"/>
      <c r="Z152" s="21" t="s">
        <v>237</v>
      </c>
      <c r="AA152" s="174">
        <v>513</v>
      </c>
      <c r="AB152" s="174">
        <v>0.11</v>
      </c>
      <c r="AC152" s="174" t="s">
        <v>159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0.044</v>
      </c>
      <c r="L153" s="20"/>
      <c r="M153" s="93"/>
      <c r="N153" s="148"/>
      <c r="T153" s="20"/>
      <c r="Z153" s="21" t="s">
        <v>238</v>
      </c>
      <c r="AA153" s="174">
        <v>513</v>
      </c>
      <c r="AB153" s="174">
        <v>0.1</v>
      </c>
      <c r="AC153" s="174" t="s">
        <v>208</v>
      </c>
      <c r="AD153" s="9" t="s">
        <v>4</v>
      </c>
    </row>
    <row r="154" spans="10:30" ht="12.75">
      <c r="J154" s="15"/>
      <c r="T154" s="20"/>
      <c r="Z154" s="21" t="s">
        <v>239</v>
      </c>
      <c r="AA154" s="174">
        <v>513</v>
      </c>
      <c r="AB154" s="174">
        <v>0.1</v>
      </c>
      <c r="AC154" s="174" t="s">
        <v>159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240</v>
      </c>
      <c r="AA155" s="174">
        <v>863</v>
      </c>
      <c r="AB155" s="174">
        <v>0.11</v>
      </c>
      <c r="AC155" s="174" t="s">
        <v>208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586.43</v>
      </c>
      <c r="L156" s="20"/>
      <c r="M156" s="93"/>
      <c r="T156" s="20"/>
      <c r="Z156" s="21" t="s">
        <v>241</v>
      </c>
      <c r="AA156" s="174">
        <v>863</v>
      </c>
      <c r="AB156" s="174">
        <v>0.11</v>
      </c>
      <c r="AC156" s="174" t="s">
        <v>159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242</v>
      </c>
      <c r="AA157" s="174">
        <v>513</v>
      </c>
      <c r="AB157" s="174">
        <v>0.06</v>
      </c>
      <c r="AC157" s="174" t="s">
        <v>208</v>
      </c>
      <c r="AD157" s="9" t="s">
        <v>4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21" t="s">
        <v>243</v>
      </c>
      <c r="AA158" s="174">
        <v>513</v>
      </c>
      <c r="AB158" s="174">
        <v>0.06</v>
      </c>
      <c r="AC158" s="174" t="s">
        <v>159</v>
      </c>
      <c r="AD158" s="85" t="s">
        <v>551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586.43</v>
      </c>
      <c r="L159" s="20"/>
      <c r="M159" s="93"/>
      <c r="Z159" s="172" t="s">
        <v>561</v>
      </c>
      <c r="AA159" s="175">
        <v>513</v>
      </c>
      <c r="AB159" s="175">
        <v>0.11</v>
      </c>
      <c r="AC159" s="175" t="s">
        <v>159</v>
      </c>
      <c r="AD159" s="85" t="s">
        <v>551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586.43</v>
      </c>
      <c r="L160" s="20"/>
      <c r="M160" s="93"/>
      <c r="T160" s="20"/>
      <c r="Z160" s="172" t="s">
        <v>562</v>
      </c>
      <c r="AA160" s="175">
        <v>863</v>
      </c>
      <c r="AB160" s="175">
        <v>0.11</v>
      </c>
      <c r="AC160" s="175" t="s">
        <v>208</v>
      </c>
      <c r="AD160" s="85" t="s">
        <v>551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586.43</v>
      </c>
      <c r="L161" s="20"/>
      <c r="M161" s="93"/>
      <c r="T161" s="20"/>
      <c r="Z161" s="172" t="s">
        <v>563</v>
      </c>
      <c r="AA161" s="175">
        <v>863</v>
      </c>
      <c r="AB161" s="175">
        <v>0.11</v>
      </c>
      <c r="AC161" s="175" t="s">
        <v>159</v>
      </c>
      <c r="AD161" s="85" t="s">
        <v>551</v>
      </c>
    </row>
    <row r="162" spans="10:30" ht="12.75">
      <c r="J162" s="15"/>
      <c r="T162" s="20"/>
      <c r="Z162" s="172" t="s">
        <v>560</v>
      </c>
      <c r="AA162" s="175">
        <v>513</v>
      </c>
      <c r="AB162" s="175">
        <v>0.11</v>
      </c>
      <c r="AC162" s="175" t="s">
        <v>208</v>
      </c>
      <c r="AD162" s="9" t="s">
        <v>4</v>
      </c>
    </row>
    <row r="163" spans="10:30" ht="12.75">
      <c r="J163" s="94" t="s">
        <v>135</v>
      </c>
      <c r="M163" s="93"/>
      <c r="T163" s="20"/>
      <c r="Z163" s="21" t="s">
        <v>244</v>
      </c>
      <c r="AA163" s="174">
        <v>317</v>
      </c>
      <c r="AB163" s="174">
        <v>0.1</v>
      </c>
      <c r="AC163" s="174" t="s">
        <v>159</v>
      </c>
      <c r="AD163" s="9" t="s">
        <v>4</v>
      </c>
    </row>
    <row r="164" spans="10:30" ht="12.75">
      <c r="J164" s="94" t="s">
        <v>136</v>
      </c>
      <c r="K164" s="14">
        <f>ROUND(STG1-SBSA1,2)</f>
        <v>5319.44</v>
      </c>
      <c r="L164" s="20"/>
      <c r="M164" s="93"/>
      <c r="T164" s="20"/>
      <c r="Z164" s="21" t="s">
        <v>245</v>
      </c>
      <c r="AA164" s="174">
        <v>317</v>
      </c>
      <c r="AB164" s="174">
        <v>0.1</v>
      </c>
      <c r="AC164" s="174" t="s">
        <v>208</v>
      </c>
      <c r="AD164" s="9" t="s">
        <v>4</v>
      </c>
    </row>
    <row r="165" spans="10:30" ht="12.75">
      <c r="J165" s="94" t="s">
        <v>137</v>
      </c>
      <c r="K165" s="14">
        <f>ROUND(K133-K141,2)</f>
        <v>0</v>
      </c>
      <c r="L165" s="20"/>
      <c r="M165" s="93"/>
      <c r="T165" s="20"/>
      <c r="Z165" s="21" t="s">
        <v>246</v>
      </c>
      <c r="AA165" s="174">
        <v>317</v>
      </c>
      <c r="AB165" s="174">
        <v>0.1</v>
      </c>
      <c r="AC165" s="174" t="s">
        <v>159</v>
      </c>
      <c r="AD165" s="9" t="s">
        <v>4</v>
      </c>
    </row>
    <row r="166" spans="10:30" ht="12.75">
      <c r="J166" s="94" t="s">
        <v>138</v>
      </c>
      <c r="K166" s="14">
        <f>ROUND(K134-K142,2)</f>
        <v>0</v>
      </c>
      <c r="L166" s="20"/>
      <c r="M166" s="93"/>
      <c r="Z166" s="21" t="s">
        <v>247</v>
      </c>
      <c r="AA166" s="174">
        <v>317</v>
      </c>
      <c r="AB166" s="174">
        <v>0.07</v>
      </c>
      <c r="AC166" s="174" t="s">
        <v>208</v>
      </c>
      <c r="AD166" s="9" t="s">
        <v>4</v>
      </c>
    </row>
    <row r="167" spans="10:30" ht="12.75">
      <c r="J167" s="94" t="s">
        <v>461</v>
      </c>
      <c r="K167" s="14">
        <f>ROUND(K135-K143,2)</f>
        <v>10550</v>
      </c>
      <c r="L167" s="20"/>
      <c r="M167" s="93"/>
      <c r="Z167" s="21" t="s">
        <v>248</v>
      </c>
      <c r="AA167" s="174">
        <v>317</v>
      </c>
      <c r="AB167" s="174">
        <v>0.105</v>
      </c>
      <c r="AC167" s="174" t="s">
        <v>159</v>
      </c>
      <c r="AD167" s="9" t="s">
        <v>4</v>
      </c>
    </row>
    <row r="168" spans="10:30" ht="12.75">
      <c r="J168" s="94" t="s">
        <v>462</v>
      </c>
      <c r="K168" s="14">
        <f>ROUND(K136-K144,2)</f>
        <v>10550</v>
      </c>
      <c r="L168" s="20"/>
      <c r="M168" s="93"/>
      <c r="T168" s="20"/>
      <c r="Z168" s="21" t="s">
        <v>249</v>
      </c>
      <c r="AA168" s="174">
        <v>317</v>
      </c>
      <c r="AB168" s="174">
        <v>0.06</v>
      </c>
      <c r="AC168" s="174" t="s">
        <v>208</v>
      </c>
      <c r="AD168" s="9" t="s">
        <v>4</v>
      </c>
    </row>
    <row r="169" spans="10:30" ht="12.75">
      <c r="J169" s="94" t="s">
        <v>463</v>
      </c>
      <c r="K169" s="14">
        <f>ROUND(K137-K145,2)</f>
        <v>10550</v>
      </c>
      <c r="L169" s="20"/>
      <c r="M169" s="93"/>
      <c r="T169" s="20"/>
      <c r="Z169" s="21" t="s">
        <v>250</v>
      </c>
      <c r="AA169" s="174">
        <v>863</v>
      </c>
      <c r="AB169" s="174">
        <v>0</v>
      </c>
      <c r="AC169" s="174" t="s">
        <v>208</v>
      </c>
      <c r="AD169" s="9" t="s">
        <v>4</v>
      </c>
    </row>
    <row r="170" spans="10:30" ht="12.75">
      <c r="J170" s="15"/>
      <c r="T170" s="20"/>
      <c r="Z170" s="172" t="s">
        <v>572</v>
      </c>
      <c r="AA170" s="175">
        <v>317</v>
      </c>
      <c r="AB170" s="175">
        <v>0.1</v>
      </c>
      <c r="AC170" s="175" t="s">
        <v>159</v>
      </c>
      <c r="AD170" s="85" t="s">
        <v>567</v>
      </c>
    </row>
    <row r="171" spans="10:30" ht="12.75">
      <c r="J171" s="94" t="s">
        <v>139</v>
      </c>
      <c r="M171" s="93"/>
      <c r="T171" s="20"/>
      <c r="Z171" s="172" t="s">
        <v>573</v>
      </c>
      <c r="AA171" s="175">
        <v>317</v>
      </c>
      <c r="AB171" s="175">
        <v>0.1</v>
      </c>
      <c r="AC171" s="175" t="s">
        <v>208</v>
      </c>
      <c r="AD171" s="85"/>
    </row>
    <row r="172" spans="10:30" ht="12.75">
      <c r="J172" s="94" t="s">
        <v>140</v>
      </c>
      <c r="K172" s="48">
        <f>(SBST1+ROUND(SOVR1*SMTR1,5))</f>
        <v>820.4853599999999</v>
      </c>
      <c r="L172" s="20"/>
      <c r="M172" s="93"/>
      <c r="T172" s="20"/>
      <c r="Z172" s="172" t="s">
        <v>601</v>
      </c>
      <c r="AA172" s="175">
        <v>317</v>
      </c>
      <c r="AB172" s="175">
        <v>0.135</v>
      </c>
      <c r="AC172" s="175" t="s">
        <v>208</v>
      </c>
      <c r="AD172" s="85"/>
    </row>
    <row r="173" spans="10:30" ht="12.75">
      <c r="J173" s="94" t="s">
        <v>141</v>
      </c>
      <c r="K173" s="48">
        <f>(K157+ROUND(K165*SMTR2,5))</f>
        <v>0</v>
      </c>
      <c r="L173" s="20"/>
      <c r="M173" s="93"/>
      <c r="T173" s="20"/>
      <c r="Z173" s="172" t="s">
        <v>597</v>
      </c>
      <c r="AA173" s="175">
        <v>317</v>
      </c>
      <c r="AB173" s="175">
        <v>0.135</v>
      </c>
      <c r="AC173" s="175" t="s">
        <v>159</v>
      </c>
      <c r="AD173" s="85"/>
    </row>
    <row r="174" spans="10:29" ht="12.75">
      <c r="J174" s="94" t="s">
        <v>142</v>
      </c>
      <c r="K174" s="48">
        <f>(K158+ROUND(K166*SMTR3,5))</f>
        <v>0</v>
      </c>
      <c r="L174" s="20"/>
      <c r="M174" s="93"/>
      <c r="Z174" s="172" t="s">
        <v>602</v>
      </c>
      <c r="AA174" s="175">
        <v>317</v>
      </c>
      <c r="AB174" s="175">
        <v>0.135</v>
      </c>
      <c r="AC174" s="175" t="s">
        <v>208</v>
      </c>
    </row>
    <row r="175" spans="10:29" ht="12.75">
      <c r="J175" s="94" t="s">
        <v>143</v>
      </c>
      <c r="K175" s="48">
        <f>(K159+ROUND(K167*SMTR4,5))</f>
        <v>1050.6299999999999</v>
      </c>
      <c r="L175" s="20"/>
      <c r="M175" s="93"/>
      <c r="Z175" s="21" t="s">
        <v>251</v>
      </c>
      <c r="AA175" s="174">
        <v>513</v>
      </c>
      <c r="AB175" s="174">
        <v>0.09</v>
      </c>
      <c r="AC175" s="174" t="s">
        <v>209</v>
      </c>
    </row>
    <row r="176" spans="10:29" ht="12.75">
      <c r="J176" s="94" t="s">
        <v>144</v>
      </c>
      <c r="K176" s="48">
        <f>(K160+ROUND(K168*SMTR5,5))</f>
        <v>1050.6299999999999</v>
      </c>
      <c r="L176" s="20"/>
      <c r="M176" s="93"/>
      <c r="T176" s="20"/>
      <c r="Z176" s="21" t="s">
        <v>252</v>
      </c>
      <c r="AA176" s="174">
        <v>513</v>
      </c>
      <c r="AB176" s="174">
        <v>0.09</v>
      </c>
      <c r="AC176" s="174" t="s">
        <v>209</v>
      </c>
    </row>
    <row r="177" spans="10:29" ht="12.75">
      <c r="J177" s="94" t="s">
        <v>145</v>
      </c>
      <c r="K177" s="48">
        <f>(K161+ROUND(K169*SMTR6,5))</f>
        <v>1050.6299999999999</v>
      </c>
      <c r="L177" s="20"/>
      <c r="M177" s="93"/>
      <c r="T177" s="20"/>
      <c r="Z177" s="21" t="s">
        <v>253</v>
      </c>
      <c r="AA177" s="174">
        <v>513</v>
      </c>
      <c r="AB177" s="174">
        <v>0.05</v>
      </c>
      <c r="AC177" s="174" t="s">
        <v>209</v>
      </c>
    </row>
    <row r="178" spans="10:30" ht="12.75">
      <c r="J178" s="15"/>
      <c r="T178" s="20"/>
      <c r="Z178" s="21" t="s">
        <v>254</v>
      </c>
      <c r="AA178" s="174">
        <v>0</v>
      </c>
      <c r="AB178" s="174">
        <v>0</v>
      </c>
      <c r="AC178" s="174" t="s">
        <v>209</v>
      </c>
      <c r="AD178" s="179" t="s">
        <v>553</v>
      </c>
    </row>
    <row r="179" spans="10:30" ht="12.75">
      <c r="J179" s="94" t="s">
        <v>146</v>
      </c>
      <c r="M179" s="93"/>
      <c r="T179" s="20"/>
      <c r="Z179" s="21" t="s">
        <v>501</v>
      </c>
      <c r="AA179" s="174">
        <v>317</v>
      </c>
      <c r="AB179" s="174">
        <v>0.11</v>
      </c>
      <c r="AC179" s="174" t="s">
        <v>208</v>
      </c>
      <c r="AD179" s="179" t="s">
        <v>553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68.37</v>
      </c>
      <c r="L180" s="20"/>
      <c r="M180" s="93"/>
      <c r="T180" s="20"/>
      <c r="Z180" s="21" t="s">
        <v>502</v>
      </c>
      <c r="AA180" s="174">
        <v>317</v>
      </c>
      <c r="AB180" s="174">
        <v>0.11</v>
      </c>
      <c r="AC180" s="174" t="s">
        <v>159</v>
      </c>
      <c r="AD180" s="179" t="s">
        <v>553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21" t="s">
        <v>503</v>
      </c>
      <c r="AA181" s="174">
        <v>513</v>
      </c>
      <c r="AB181" s="174">
        <v>0.1</v>
      </c>
      <c r="AC181" s="174" t="s">
        <v>209</v>
      </c>
      <c r="AD181" s="179" t="s">
        <v>553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21" t="s">
        <v>504</v>
      </c>
      <c r="AA182" s="174">
        <v>317</v>
      </c>
      <c r="AB182" s="174">
        <v>0.11</v>
      </c>
      <c r="AC182" s="174" t="s">
        <v>208</v>
      </c>
      <c r="AD182" s="179" t="s">
        <v>553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87.55</v>
      </c>
      <c r="L183" s="20"/>
      <c r="M183" s="93"/>
      <c r="Z183" s="21" t="s">
        <v>505</v>
      </c>
      <c r="AA183" s="174">
        <v>317</v>
      </c>
      <c r="AB183" s="174">
        <v>0.11</v>
      </c>
      <c r="AC183" s="174" t="s">
        <v>159</v>
      </c>
      <c r="AD183" s="179" t="s">
        <v>553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87.55</v>
      </c>
      <c r="L184" s="20"/>
      <c r="M184" s="93"/>
      <c r="Z184" s="21" t="s">
        <v>506</v>
      </c>
      <c r="AA184" s="174">
        <v>513</v>
      </c>
      <c r="AB184" s="174">
        <v>0.1</v>
      </c>
      <c r="AC184" s="174" t="s">
        <v>209</v>
      </c>
      <c r="AD184" s="179" t="s">
        <v>553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87.55</v>
      </c>
      <c r="L185" s="20"/>
      <c r="M185" s="93"/>
      <c r="Z185" s="21" t="s">
        <v>507</v>
      </c>
      <c r="AA185" s="174">
        <v>513</v>
      </c>
      <c r="AB185" s="174">
        <v>0.1</v>
      </c>
      <c r="AC185" s="174" t="s">
        <v>209</v>
      </c>
      <c r="AD185" s="179" t="s">
        <v>584</v>
      </c>
    </row>
    <row r="186" spans="26:30" ht="12.75">
      <c r="Z186" s="21" t="s">
        <v>531</v>
      </c>
      <c r="AA186" s="174">
        <v>513</v>
      </c>
      <c r="AB186" s="174">
        <v>0.08</v>
      </c>
      <c r="AC186" s="174" t="s">
        <v>209</v>
      </c>
      <c r="AD186" s="85" t="s">
        <v>551</v>
      </c>
    </row>
    <row r="187" spans="26:30" ht="12.75">
      <c r="Z187" s="172" t="s">
        <v>557</v>
      </c>
      <c r="AA187" s="175">
        <v>513</v>
      </c>
      <c r="AB187" s="175">
        <v>0.08</v>
      </c>
      <c r="AC187" s="175" t="s">
        <v>209</v>
      </c>
      <c r="AD187" s="85" t="s">
        <v>551</v>
      </c>
    </row>
    <row r="188" spans="26:30" ht="12.75">
      <c r="Z188" s="172" t="s">
        <v>555</v>
      </c>
      <c r="AA188" s="175">
        <v>317</v>
      </c>
      <c r="AB188" s="175">
        <v>0.09</v>
      </c>
      <c r="AC188" s="175" t="s">
        <v>208</v>
      </c>
      <c r="AD188" s="85" t="s">
        <v>551</v>
      </c>
    </row>
    <row r="189" spans="26:30" ht="12.75">
      <c r="Z189" s="172" t="s">
        <v>556</v>
      </c>
      <c r="AA189" s="175">
        <v>317</v>
      </c>
      <c r="AB189" s="175">
        <v>0.09</v>
      </c>
      <c r="AC189" s="175" t="s">
        <v>159</v>
      </c>
      <c r="AD189" s="179" t="s">
        <v>584</v>
      </c>
    </row>
    <row r="190" spans="26:30" ht="12.75">
      <c r="Z190" s="21" t="s">
        <v>529</v>
      </c>
      <c r="AA190" s="174">
        <v>317</v>
      </c>
      <c r="AB190" s="174">
        <v>0.09</v>
      </c>
      <c r="AC190" s="174" t="s">
        <v>208</v>
      </c>
      <c r="AD190" s="179" t="s">
        <v>584</v>
      </c>
    </row>
    <row r="191" spans="26:30" ht="12.75">
      <c r="Z191" s="21" t="s">
        <v>530</v>
      </c>
      <c r="AA191" s="174">
        <v>317</v>
      </c>
      <c r="AB191" s="174">
        <v>0.09</v>
      </c>
      <c r="AC191" s="174" t="s">
        <v>159</v>
      </c>
      <c r="AD191" s="179" t="s">
        <v>584</v>
      </c>
    </row>
    <row r="192" spans="26:30" ht="12.75">
      <c r="Z192" s="21" t="s">
        <v>532</v>
      </c>
      <c r="AA192" s="174">
        <v>513</v>
      </c>
      <c r="AB192" s="174">
        <v>0.08</v>
      </c>
      <c r="AC192" s="174" t="s">
        <v>209</v>
      </c>
      <c r="AD192" s="85" t="s">
        <v>567</v>
      </c>
    </row>
    <row r="193" spans="26:30" ht="12.75">
      <c r="Z193" s="172" t="s">
        <v>570</v>
      </c>
      <c r="AA193" s="175">
        <v>513</v>
      </c>
      <c r="AB193" s="175">
        <v>0.09</v>
      </c>
      <c r="AC193" s="175" t="s">
        <v>209</v>
      </c>
      <c r="AD193" s="85" t="s">
        <v>567</v>
      </c>
    </row>
    <row r="194" spans="26:30" ht="12.75">
      <c r="Z194" s="172" t="s">
        <v>571</v>
      </c>
      <c r="AA194" s="175">
        <v>513</v>
      </c>
      <c r="AB194" s="175">
        <v>0.095</v>
      </c>
      <c r="AC194" s="175" t="s">
        <v>209</v>
      </c>
      <c r="AD194" s="179" t="s">
        <v>553</v>
      </c>
    </row>
    <row r="195" spans="26:30" ht="12.75">
      <c r="Z195" s="21" t="s">
        <v>468</v>
      </c>
      <c r="AA195" s="174">
        <v>513</v>
      </c>
      <c r="AB195" s="174">
        <v>0.1</v>
      </c>
      <c r="AC195" s="174" t="s">
        <v>209</v>
      </c>
      <c r="AD195" s="179" t="s">
        <v>553</v>
      </c>
    </row>
    <row r="196" spans="26:30" ht="12.75">
      <c r="Z196" s="21" t="s">
        <v>469</v>
      </c>
      <c r="AA196" s="174">
        <v>513</v>
      </c>
      <c r="AB196" s="174">
        <v>0.1</v>
      </c>
      <c r="AC196" s="174" t="s">
        <v>209</v>
      </c>
      <c r="AD196" s="179" t="s">
        <v>553</v>
      </c>
    </row>
    <row r="197" spans="26:30" ht="12.75">
      <c r="Z197" s="21" t="s">
        <v>585</v>
      </c>
      <c r="AA197" s="174">
        <v>513</v>
      </c>
      <c r="AB197" s="174">
        <v>0.1</v>
      </c>
      <c r="AC197" s="174" t="s">
        <v>209</v>
      </c>
      <c r="AD197" s="179"/>
    </row>
    <row r="198" spans="26:30" ht="12.75">
      <c r="Z198" s="21" t="s">
        <v>596</v>
      </c>
      <c r="AA198" s="174">
        <v>513</v>
      </c>
      <c r="AB198" s="174">
        <v>0.125</v>
      </c>
      <c r="AC198" s="174" t="s">
        <v>209</v>
      </c>
      <c r="AD198" s="179" t="s">
        <v>553</v>
      </c>
    </row>
    <row r="199" spans="26:30" ht="12.75">
      <c r="Z199" s="21" t="s">
        <v>470</v>
      </c>
      <c r="AA199" s="174">
        <v>513</v>
      </c>
      <c r="AB199" s="174">
        <v>0.1</v>
      </c>
      <c r="AC199" s="174" t="s">
        <v>209</v>
      </c>
      <c r="AD199" s="179" t="s">
        <v>553</v>
      </c>
    </row>
    <row r="200" spans="26:30" ht="12.75">
      <c r="Z200" s="21" t="s">
        <v>471</v>
      </c>
      <c r="AA200" s="174">
        <v>513</v>
      </c>
      <c r="AB200" s="174">
        <v>0.1</v>
      </c>
      <c r="AC200" s="174" t="s">
        <v>209</v>
      </c>
      <c r="AD200" s="179" t="s">
        <v>553</v>
      </c>
    </row>
    <row r="201" spans="26:30" ht="12.75">
      <c r="Z201" s="21" t="s">
        <v>472</v>
      </c>
      <c r="AA201" s="174">
        <v>513</v>
      </c>
      <c r="AB201" s="174">
        <v>0.1</v>
      </c>
      <c r="AC201" s="174" t="s">
        <v>209</v>
      </c>
      <c r="AD201" s="179" t="s">
        <v>553</v>
      </c>
    </row>
    <row r="202" spans="26:30" ht="12.75">
      <c r="Z202" s="21" t="s">
        <v>473</v>
      </c>
      <c r="AA202" s="174">
        <v>513</v>
      </c>
      <c r="AB202" s="174">
        <v>0.1</v>
      </c>
      <c r="AC202" s="174" t="s">
        <v>209</v>
      </c>
      <c r="AD202" s="179" t="s">
        <v>553</v>
      </c>
    </row>
    <row r="203" spans="26:30" ht="12.75">
      <c r="Z203" s="21" t="s">
        <v>586</v>
      </c>
      <c r="AA203" s="174">
        <v>513</v>
      </c>
      <c r="AB203" s="174">
        <v>0.1</v>
      </c>
      <c r="AC203" s="174" t="s">
        <v>209</v>
      </c>
      <c r="AD203" s="179" t="s">
        <v>553</v>
      </c>
    </row>
    <row r="204" spans="26:30" ht="12.75">
      <c r="Z204" s="21" t="s">
        <v>587</v>
      </c>
      <c r="AA204" s="174">
        <v>513</v>
      </c>
      <c r="AB204" s="174">
        <v>0.1</v>
      </c>
      <c r="AC204" s="174" t="s">
        <v>209</v>
      </c>
      <c r="AD204" s="179"/>
    </row>
    <row r="205" spans="26:30" ht="12.75">
      <c r="Z205" s="21" t="s">
        <v>600</v>
      </c>
      <c r="AA205" s="174">
        <v>513</v>
      </c>
      <c r="AB205" s="174">
        <v>0.125</v>
      </c>
      <c r="AC205" s="174" t="s">
        <v>209</v>
      </c>
      <c r="AD205" s="179" t="s">
        <v>553</v>
      </c>
    </row>
    <row r="206" spans="26:30" ht="12.75">
      <c r="Z206" s="21" t="s">
        <v>474</v>
      </c>
      <c r="AA206" s="174">
        <v>513</v>
      </c>
      <c r="AB206" s="174">
        <v>0.1</v>
      </c>
      <c r="AC206" s="174" t="s">
        <v>209</v>
      </c>
      <c r="AD206" s="179" t="s">
        <v>553</v>
      </c>
    </row>
    <row r="207" spans="26:30" ht="12.75">
      <c r="Z207" s="21" t="s">
        <v>475</v>
      </c>
      <c r="AA207" s="174">
        <v>513</v>
      </c>
      <c r="AB207" s="174">
        <v>0.1</v>
      </c>
      <c r="AC207" s="174" t="s">
        <v>209</v>
      </c>
      <c r="AD207" s="179" t="s">
        <v>553</v>
      </c>
    </row>
    <row r="208" spans="26:30" ht="12.75">
      <c r="Z208" s="21" t="s">
        <v>476</v>
      </c>
      <c r="AA208" s="174">
        <v>513</v>
      </c>
      <c r="AB208" s="174">
        <v>0.1</v>
      </c>
      <c r="AC208" s="174" t="s">
        <v>209</v>
      </c>
      <c r="AD208" s="179" t="s">
        <v>584</v>
      </c>
    </row>
    <row r="209" spans="26:30" ht="12.75">
      <c r="Z209" s="21" t="s">
        <v>515</v>
      </c>
      <c r="AA209" s="174">
        <v>513</v>
      </c>
      <c r="AB209" s="174">
        <v>0.08</v>
      </c>
      <c r="AC209" s="174" t="s">
        <v>209</v>
      </c>
      <c r="AD209" s="179" t="s">
        <v>584</v>
      </c>
    </row>
    <row r="210" spans="26:30" ht="12.75">
      <c r="Z210" s="21" t="s">
        <v>516</v>
      </c>
      <c r="AA210" s="174">
        <v>513</v>
      </c>
      <c r="AB210" s="174">
        <v>0.08</v>
      </c>
      <c r="AC210" s="174" t="s">
        <v>209</v>
      </c>
      <c r="AD210" s="179" t="s">
        <v>584</v>
      </c>
    </row>
    <row r="211" spans="26:30" ht="12.75">
      <c r="Z211" s="21" t="s">
        <v>517</v>
      </c>
      <c r="AA211" s="174">
        <v>513</v>
      </c>
      <c r="AB211" s="174">
        <v>0.08</v>
      </c>
      <c r="AC211" s="174" t="s">
        <v>209</v>
      </c>
      <c r="AD211" s="179" t="s">
        <v>584</v>
      </c>
    </row>
    <row r="212" spans="26:30" ht="12.75">
      <c r="Z212" s="21" t="s">
        <v>518</v>
      </c>
      <c r="AA212" s="174">
        <v>513</v>
      </c>
      <c r="AB212" s="174">
        <v>0.08</v>
      </c>
      <c r="AC212" s="174" t="s">
        <v>209</v>
      </c>
      <c r="AD212" s="85" t="s">
        <v>551</v>
      </c>
    </row>
    <row r="213" spans="26:30" ht="12.75">
      <c r="Z213" s="172" t="s">
        <v>564</v>
      </c>
      <c r="AA213" s="175">
        <v>513</v>
      </c>
      <c r="AB213" s="175">
        <v>0.08</v>
      </c>
      <c r="AC213" s="175" t="s">
        <v>209</v>
      </c>
      <c r="AD213" s="85" t="s">
        <v>551</v>
      </c>
    </row>
    <row r="214" spans="26:30" ht="12.75">
      <c r="Z214" s="172" t="s">
        <v>565</v>
      </c>
      <c r="AA214" s="175">
        <v>513</v>
      </c>
      <c r="AB214" s="175">
        <v>0.08</v>
      </c>
      <c r="AC214" s="175" t="s">
        <v>209</v>
      </c>
      <c r="AD214" s="85" t="s">
        <v>591</v>
      </c>
    </row>
    <row r="215" spans="26:30" ht="12.75">
      <c r="Z215" s="172" t="s">
        <v>590</v>
      </c>
      <c r="AA215" s="175">
        <v>513</v>
      </c>
      <c r="AB215" s="175">
        <v>0.125</v>
      </c>
      <c r="AC215" s="175" t="s">
        <v>209</v>
      </c>
      <c r="AD215" s="85" t="s">
        <v>567</v>
      </c>
    </row>
    <row r="216" spans="26:30" ht="12.75">
      <c r="Z216" s="172" t="s">
        <v>580</v>
      </c>
      <c r="AA216" s="175">
        <v>513</v>
      </c>
      <c r="AB216" s="175">
        <v>0.09</v>
      </c>
      <c r="AC216" s="175" t="s">
        <v>209</v>
      </c>
      <c r="AD216" s="85" t="s">
        <v>567</v>
      </c>
    </row>
    <row r="217" spans="26:30" ht="12.75">
      <c r="Z217" s="172" t="s">
        <v>581</v>
      </c>
      <c r="AA217" s="175">
        <v>513</v>
      </c>
      <c r="AB217" s="175">
        <v>0.09</v>
      </c>
      <c r="AC217" s="175" t="s">
        <v>209</v>
      </c>
      <c r="AD217" s="85" t="s">
        <v>567</v>
      </c>
    </row>
    <row r="218" spans="26:30" ht="12.75">
      <c r="Z218" s="172" t="s">
        <v>582</v>
      </c>
      <c r="AA218" s="175">
        <v>513</v>
      </c>
      <c r="AB218" s="175">
        <v>0.095</v>
      </c>
      <c r="AC218" s="175" t="s">
        <v>209</v>
      </c>
      <c r="AD218" s="85" t="s">
        <v>567</v>
      </c>
    </row>
    <row r="219" spans="26:29" ht="12.75">
      <c r="Z219" s="172" t="s">
        <v>583</v>
      </c>
      <c r="AA219" s="175">
        <v>513</v>
      </c>
      <c r="AB219" s="175">
        <v>0.095</v>
      </c>
      <c r="AC219" s="175" t="s">
        <v>209</v>
      </c>
    </row>
    <row r="220" spans="26:29" ht="12.75">
      <c r="Z220" s="21" t="s">
        <v>255</v>
      </c>
      <c r="AA220" s="174">
        <v>0</v>
      </c>
      <c r="AB220" s="174">
        <v>0.08</v>
      </c>
      <c r="AC220" s="174" t="s">
        <v>208</v>
      </c>
    </row>
    <row r="221" spans="26:29" ht="12.75">
      <c r="Z221" s="21" t="s">
        <v>256</v>
      </c>
      <c r="AA221" s="174">
        <v>0</v>
      </c>
      <c r="AB221" s="174">
        <v>0.01</v>
      </c>
      <c r="AC221" s="174" t="s">
        <v>208</v>
      </c>
    </row>
    <row r="222" spans="26:29" ht="12.75">
      <c r="Z222" s="21" t="s">
        <v>257</v>
      </c>
      <c r="AA222" s="174">
        <v>0</v>
      </c>
      <c r="AB222" s="174">
        <v>0.01</v>
      </c>
      <c r="AC222" s="174" t="s">
        <v>159</v>
      </c>
    </row>
    <row r="223" spans="26:29" ht="12.75">
      <c r="Z223" s="21" t="s">
        <v>258</v>
      </c>
      <c r="AA223" s="174">
        <v>0</v>
      </c>
      <c r="AB223" s="174">
        <v>0.08</v>
      </c>
      <c r="AC223" s="174" t="s">
        <v>159</v>
      </c>
    </row>
    <row r="224" spans="26:29" ht="12.75">
      <c r="Z224" s="21" t="s">
        <v>208</v>
      </c>
      <c r="AA224" s="174">
        <v>0</v>
      </c>
      <c r="AB224" s="174">
        <v>0</v>
      </c>
      <c r="AC224" s="174" t="s">
        <v>208</v>
      </c>
    </row>
    <row r="225" spans="26:29" ht="12.75">
      <c r="Z225" s="21" t="s">
        <v>259</v>
      </c>
      <c r="AA225" s="174">
        <v>0</v>
      </c>
      <c r="AB225" s="174">
        <v>0</v>
      </c>
      <c r="AC225" s="174" t="s">
        <v>159</v>
      </c>
    </row>
    <row r="226" spans="26:29" ht="12.75">
      <c r="Z226" s="21" t="s">
        <v>165</v>
      </c>
      <c r="AA226" s="174">
        <v>0</v>
      </c>
      <c r="AB226" s="174">
        <v>0</v>
      </c>
      <c r="AC226" s="174" t="s">
        <v>209</v>
      </c>
    </row>
    <row r="227" spans="26:29" ht="12.75">
      <c r="Z227" s="21" t="s">
        <v>168</v>
      </c>
      <c r="AA227" s="174">
        <v>0</v>
      </c>
      <c r="AB227" s="174">
        <v>0</v>
      </c>
      <c r="AC227" s="174" t="s">
        <v>208</v>
      </c>
    </row>
    <row r="228" spans="26:29" ht="12.75">
      <c r="Z228" s="21" t="s">
        <v>260</v>
      </c>
      <c r="AA228" s="174">
        <v>0</v>
      </c>
      <c r="AB228" s="174">
        <v>0</v>
      </c>
      <c r="AC228" s="174" t="s">
        <v>159</v>
      </c>
    </row>
    <row r="229" spans="26:29" ht="12.75">
      <c r="Z229" s="21" t="s">
        <v>261</v>
      </c>
      <c r="AA229" s="174">
        <v>0</v>
      </c>
      <c r="AB229" s="174">
        <v>0.075</v>
      </c>
      <c r="AC229" s="174" t="s">
        <v>208</v>
      </c>
    </row>
    <row r="230" spans="26:29" ht="12.75">
      <c r="Z230" s="21" t="s">
        <v>262</v>
      </c>
      <c r="AA230" s="174">
        <v>513</v>
      </c>
      <c r="AB230" s="174">
        <v>0.09</v>
      </c>
      <c r="AC230" s="174" t="s">
        <v>209</v>
      </c>
    </row>
    <row r="231" spans="26:29" ht="12.75">
      <c r="Z231" s="21" t="s">
        <v>263</v>
      </c>
      <c r="AA231" s="174">
        <v>513</v>
      </c>
      <c r="AB231" s="174">
        <v>0.09</v>
      </c>
      <c r="AC231" s="174" t="s">
        <v>209</v>
      </c>
    </row>
    <row r="232" spans="26:29" ht="12.75">
      <c r="Z232" s="21" t="s">
        <v>264</v>
      </c>
      <c r="AA232" s="174">
        <v>513</v>
      </c>
      <c r="AB232" s="174">
        <v>0.09</v>
      </c>
      <c r="AC232" s="174" t="s">
        <v>209</v>
      </c>
    </row>
    <row r="233" spans="26:29" ht="12.75">
      <c r="Z233" s="21" t="s">
        <v>265</v>
      </c>
      <c r="AA233" s="174">
        <v>513</v>
      </c>
      <c r="AB233" s="174">
        <v>0.09</v>
      </c>
      <c r="AC233" s="174" t="s">
        <v>209</v>
      </c>
    </row>
    <row r="234" spans="26:29" ht="12.75">
      <c r="Z234" s="21" t="s">
        <v>267</v>
      </c>
      <c r="AA234" s="174">
        <v>513</v>
      </c>
      <c r="AB234" s="174">
        <v>0.095</v>
      </c>
      <c r="AC234" s="174" t="s">
        <v>209</v>
      </c>
    </row>
    <row r="235" spans="26:29" ht="12.75">
      <c r="Z235" s="21" t="s">
        <v>268</v>
      </c>
      <c r="AA235" s="174">
        <v>513</v>
      </c>
      <c r="AB235" s="174">
        <v>0.095</v>
      </c>
      <c r="AC235" s="174" t="s">
        <v>209</v>
      </c>
    </row>
    <row r="236" spans="26:29" ht="12.75">
      <c r="Z236" s="21" t="s">
        <v>269</v>
      </c>
      <c r="AA236" s="174">
        <v>513</v>
      </c>
      <c r="AB236" s="174">
        <v>0.05</v>
      </c>
      <c r="AC236" s="174" t="s">
        <v>209</v>
      </c>
    </row>
    <row r="237" spans="26:29" ht="12.75">
      <c r="Z237" s="21" t="s">
        <v>266</v>
      </c>
      <c r="AA237" s="174">
        <v>0</v>
      </c>
      <c r="AB237" s="174">
        <v>0.075</v>
      </c>
      <c r="AC237" s="174" t="s">
        <v>159</v>
      </c>
    </row>
    <row r="238" spans="26:29" ht="12.75">
      <c r="Z238" s="21" t="s">
        <v>270</v>
      </c>
      <c r="AA238" s="174">
        <v>513</v>
      </c>
      <c r="AB238" s="174">
        <v>0.095</v>
      </c>
      <c r="AC238" s="174" t="s">
        <v>209</v>
      </c>
    </row>
    <row r="239" spans="26:29" ht="12.75">
      <c r="Z239" s="21" t="s">
        <v>271</v>
      </c>
      <c r="AA239" s="174">
        <v>513</v>
      </c>
      <c r="AB239" s="174">
        <v>0.05</v>
      </c>
      <c r="AC239" s="174" t="s">
        <v>209</v>
      </c>
    </row>
    <row r="240" spans="26:29" ht="12.75">
      <c r="Z240" s="21" t="s">
        <v>272</v>
      </c>
      <c r="AA240" s="174">
        <v>513</v>
      </c>
      <c r="AB240" s="174">
        <v>0.05</v>
      </c>
      <c r="AC240" s="174" t="s">
        <v>209</v>
      </c>
    </row>
    <row r="241" spans="26:29" ht="12.75">
      <c r="Z241" s="21" t="s">
        <v>273</v>
      </c>
      <c r="AA241" s="174">
        <v>0</v>
      </c>
      <c r="AB241" s="174">
        <v>0.075</v>
      </c>
      <c r="AC241" s="174" t="s">
        <v>208</v>
      </c>
    </row>
    <row r="242" spans="26:29" ht="12.75">
      <c r="Z242" s="21" t="s">
        <v>274</v>
      </c>
      <c r="AA242" s="174">
        <v>0</v>
      </c>
      <c r="AB242" s="174">
        <v>0.075</v>
      </c>
      <c r="AC242" s="174" t="s">
        <v>159</v>
      </c>
    </row>
    <row r="243" spans="26:29" ht="12.75">
      <c r="Z243" s="21" t="s">
        <v>275</v>
      </c>
      <c r="AA243" s="174">
        <v>513</v>
      </c>
      <c r="AB243" s="174">
        <v>0.05</v>
      </c>
      <c r="AC243" s="174" t="s">
        <v>209</v>
      </c>
    </row>
    <row r="248" spans="26:30" ht="12.75">
      <c r="Z248" s="10" t="s">
        <v>542</v>
      </c>
      <c r="AD248" s="179" t="s">
        <v>584</v>
      </c>
    </row>
    <row r="249" spans="26:30" ht="12.75">
      <c r="Z249" s="21" t="s">
        <v>211</v>
      </c>
      <c r="AA249" s="7">
        <v>238</v>
      </c>
      <c r="AB249" s="7">
        <v>0.1</v>
      </c>
      <c r="AC249" s="7" t="s">
        <v>208</v>
      </c>
      <c r="AD249" s="179" t="s">
        <v>584</v>
      </c>
    </row>
    <row r="250" spans="26:30" ht="12.75">
      <c r="Z250" s="21" t="s">
        <v>212</v>
      </c>
      <c r="AA250" s="7">
        <v>238</v>
      </c>
      <c r="AB250" s="7">
        <v>0.1</v>
      </c>
      <c r="AC250" s="7" t="s">
        <v>159</v>
      </c>
      <c r="AD250" s="179" t="s">
        <v>584</v>
      </c>
    </row>
    <row r="251" spans="26:30" ht="12.75">
      <c r="Z251" s="21" t="s">
        <v>215</v>
      </c>
      <c r="AA251" s="7">
        <v>513</v>
      </c>
      <c r="AB251" s="7">
        <v>0.08</v>
      </c>
      <c r="AC251" s="7" t="s">
        <v>209</v>
      </c>
      <c r="AD251" s="179" t="s">
        <v>584</v>
      </c>
    </row>
    <row r="252" spans="26:30" ht="12.75">
      <c r="Z252" s="21" t="s">
        <v>234</v>
      </c>
      <c r="AA252" s="7">
        <v>513</v>
      </c>
      <c r="AB252" s="7">
        <v>0.11</v>
      </c>
      <c r="AC252" s="7" t="s">
        <v>208</v>
      </c>
      <c r="AD252" s="179" t="s">
        <v>584</v>
      </c>
    </row>
    <row r="253" spans="26:30" ht="12.75">
      <c r="Z253" s="21" t="s">
        <v>235</v>
      </c>
      <c r="AA253" s="7">
        <v>513</v>
      </c>
      <c r="AB253" s="7">
        <v>0.11</v>
      </c>
      <c r="AC253" s="7" t="s">
        <v>159</v>
      </c>
      <c r="AD253" s="179" t="s">
        <v>584</v>
      </c>
    </row>
    <row r="254" spans="26:30" ht="12.75">
      <c r="Z254" s="21" t="s">
        <v>236</v>
      </c>
      <c r="AA254" s="7">
        <v>513</v>
      </c>
      <c r="AB254" s="7">
        <v>0.11</v>
      </c>
      <c r="AC254" s="7" t="s">
        <v>208</v>
      </c>
      <c r="AD254" s="179" t="s">
        <v>584</v>
      </c>
    </row>
    <row r="255" spans="26:30" ht="12.75">
      <c r="Z255" s="21" t="s">
        <v>237</v>
      </c>
      <c r="AA255" s="7">
        <v>513</v>
      </c>
      <c r="AB255" s="7">
        <v>0.11</v>
      </c>
      <c r="AC255" s="7" t="s">
        <v>159</v>
      </c>
      <c r="AD255" s="179" t="s">
        <v>584</v>
      </c>
    </row>
    <row r="256" spans="26:30" ht="12.75">
      <c r="Z256" s="21" t="s">
        <v>240</v>
      </c>
      <c r="AA256" s="7">
        <v>863</v>
      </c>
      <c r="AB256" s="7">
        <v>0.11</v>
      </c>
      <c r="AC256" s="7" t="s">
        <v>208</v>
      </c>
      <c r="AD256" s="179" t="s">
        <v>584</v>
      </c>
    </row>
    <row r="257" spans="26:29" ht="12.75">
      <c r="Z257" s="21" t="s">
        <v>241</v>
      </c>
      <c r="AA257" s="7">
        <v>863</v>
      </c>
      <c r="AB257" s="7">
        <v>0.11</v>
      </c>
      <c r="AC257" s="7" t="s">
        <v>159</v>
      </c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2015-05-04T19:28:19Z</dcterms:modified>
  <cp:category>Tax Year 2009</cp:category>
  <cp:version/>
  <cp:contentType/>
  <cp:contentStatus/>
</cp:coreProperties>
</file>