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600" yWindow="65524" windowWidth="9648" windowHeight="10836" tabRatio="541" activeTab="0"/>
  </bookViews>
  <sheets>
    <sheet name="idls09" sheetId="1" r:id="rId1"/>
  </sheets>
  <definedNames>
    <definedName name="ADDALLOW">'idls09'!$K$124</definedName>
    <definedName name="ADDALLOW2">'idls09'!$N$124</definedName>
    <definedName name="ADDALLOW3">'idls09'!$Q$124</definedName>
    <definedName name="CAT">'idls09'!$B$8</definedName>
    <definedName name="CBID">'idls09'!$B$4</definedName>
    <definedName name="Days_in_Pay_Period">'idls09'!$D$5</definedName>
    <definedName name="DCA1">'idls09'!$B$22</definedName>
    <definedName name="DCA2">'idls09'!$C$22</definedName>
    <definedName name="DCA3">'idls09'!$D$22</definedName>
    <definedName name="DCA4">'idls09'!$F$22</definedName>
    <definedName name="DCA5">'idls09'!$G$22</definedName>
    <definedName name="DCA6">'idls09'!$H$22</definedName>
    <definedName name="DED1">'idls09'!$U$7</definedName>
    <definedName name="DED2">'idls09'!$U$8</definedName>
    <definedName name="DED3">'idls09'!$U$9</definedName>
    <definedName name="DED4">'idls09'!$U$10</definedName>
    <definedName name="Divided_By">'idls09'!$D$32</definedName>
    <definedName name="EMPCR">'idls09'!$U$17:$V$39</definedName>
    <definedName name="EPMC">'idls09'!$K$14</definedName>
    <definedName name="EPMC_P">'idls09'!$K$13</definedName>
    <definedName name="EPMC2">'idls09'!$V$14</definedName>
    <definedName name="EPMCD">'idls09'!$U$6</definedName>
    <definedName name="FAN1">'idls09'!$K$59</definedName>
    <definedName name="FAN10">'idls09'!$N$62</definedName>
    <definedName name="FAN11">'idls09'!$N$63</definedName>
    <definedName name="FAN12">'idls09'!$N$64</definedName>
    <definedName name="FAN13">'idls09'!$Q$59</definedName>
    <definedName name="FAN14">'idls09'!$Q$60</definedName>
    <definedName name="FAN15">'idls09'!$Q$61</definedName>
    <definedName name="FAN16">'idls09'!$Q$62</definedName>
    <definedName name="FAN17">'idls09'!$Q$63</definedName>
    <definedName name="FAN18">'idls09'!$Q$64</definedName>
    <definedName name="FAN7">'idls09'!$N$59</definedName>
    <definedName name="FAN8">'idls09'!$N$60</definedName>
    <definedName name="FAN9">'idls09'!$N$61</definedName>
    <definedName name="FBAS10">'idls09'!$N$78</definedName>
    <definedName name="FBAS11">'idls09'!$N$79</definedName>
    <definedName name="FBAS12">'idls09'!$N$80</definedName>
    <definedName name="FBAS16">'idls09'!$Q$78</definedName>
    <definedName name="FBAS17">'idls09'!$Q$79</definedName>
    <definedName name="FBAS18">'idls09'!$Q$80</definedName>
    <definedName name="FBSA1">'idls09'!$K$75</definedName>
    <definedName name="FBSA13">'idls09'!$Q$75</definedName>
    <definedName name="FBSA14">'idls09'!$Q$76</definedName>
    <definedName name="FBSA15">'idls09'!$Q$77</definedName>
    <definedName name="FBSA7">'idls09'!$N$75</definedName>
    <definedName name="FBSA8">'idls09'!$N$76</definedName>
    <definedName name="FBSA9">'idls09'!$N$77</definedName>
    <definedName name="FBST1">'idls09'!$K$91</definedName>
    <definedName name="FBST10">'idls09'!$N$94</definedName>
    <definedName name="FBST11">'idls09'!$N$95</definedName>
    <definedName name="FBST12">'idls09'!$N$96</definedName>
    <definedName name="FBST13">'idls09'!$Q$91</definedName>
    <definedName name="FBST14">'idls09'!$Q$92</definedName>
    <definedName name="FBST15">'idls09'!$Q$93</definedName>
    <definedName name="FBST16">'idls09'!$Q$94</definedName>
    <definedName name="FBST17">'idls09'!$Q$95</definedName>
    <definedName name="FBST18">'idls09'!$Q$96</definedName>
    <definedName name="FBST7">'idls09'!$N$91</definedName>
    <definedName name="FBST8">'idls09'!$N$92</definedName>
    <definedName name="FBST9">'idls09'!$N$93</definedName>
    <definedName name="FEDE">'idls09'!$D$13</definedName>
    <definedName name="FEDERAL">'idls09'!$X$1:$Z$25</definedName>
    <definedName name="FEDEXM">'idls09'!$K$57</definedName>
    <definedName name="FEDEXM2">'idls09'!$N$57</definedName>
    <definedName name="FEDEXM3">'idls09'!$Q$57</definedName>
    <definedName name="FEDEXMPT">'idls09'!$Y$2</definedName>
    <definedName name="FEDEXMPT2">'idls09'!$AI$2</definedName>
    <definedName name="FEDEXMPT3">'idls09'!$AS$2</definedName>
    <definedName name="FEDM">'idls09'!$B$13</definedName>
    <definedName name="FMTR1">'idls09'!$K$83</definedName>
    <definedName name="FMTR10">'idls09'!$N$86</definedName>
    <definedName name="FMTR11">'idls09'!$N$87</definedName>
    <definedName name="FMTR12">'idls09'!$N$88</definedName>
    <definedName name="FMTR13">'idls09'!$Q$83</definedName>
    <definedName name="FMTR14">'idls09'!$Q$84</definedName>
    <definedName name="FMTR15">'idls09'!$Q$85</definedName>
    <definedName name="FMTR16">'idls09'!$Q$86</definedName>
    <definedName name="FMTR17">'idls09'!$Q$87</definedName>
    <definedName name="FMTR18">'idls09'!$Q$88</definedName>
    <definedName name="FMTR2">'idls09'!$K$84</definedName>
    <definedName name="FMTR3">'idls09'!$K$85</definedName>
    <definedName name="FMTR4">'idls09'!$K$86</definedName>
    <definedName name="FMTR5">'idls09'!$K$87</definedName>
    <definedName name="FMTR6">'idls09'!$K$88</definedName>
    <definedName name="FMTR7">'idls09'!$N$83</definedName>
    <definedName name="FMTR8">'idls09'!$N$84</definedName>
    <definedName name="FMTR9">'idls09'!$N$85</definedName>
    <definedName name="FOVR1">'idls09'!$K$99</definedName>
    <definedName name="FOVR10">'idls09'!$N$102</definedName>
    <definedName name="FOVR11">'idls09'!$N$103</definedName>
    <definedName name="FOVR12">'idls09'!$N$104</definedName>
    <definedName name="FOVR13">'idls09'!$Q$99</definedName>
    <definedName name="FOVR14">'idls09'!$Q$100</definedName>
    <definedName name="FOVR15">'idls09'!$Q$101</definedName>
    <definedName name="FOVR16">'idls09'!$Q$102</definedName>
    <definedName name="FOVR17">'idls09'!$Q$103</definedName>
    <definedName name="FOVR18">'idls09'!$Q$104</definedName>
    <definedName name="FOVR7">'idls09'!$N$99</definedName>
    <definedName name="FOVR8">'idls09'!$N$100</definedName>
    <definedName name="FOVR9">'idls09'!$N$101</definedName>
    <definedName name="FTA1">'idls09'!$K$107</definedName>
    <definedName name="FTA10">'idls09'!$N$110</definedName>
    <definedName name="FTA11">'idls09'!$N$111</definedName>
    <definedName name="FTA12">'idls09'!$N$112</definedName>
    <definedName name="FTA13">'idls09'!$Q$107</definedName>
    <definedName name="FTA14">'idls09'!$Q$108</definedName>
    <definedName name="FTA15">'idls09'!$Q$109</definedName>
    <definedName name="FTA16">'idls09'!$Q$110</definedName>
    <definedName name="FTA17">'idls09'!$Q$111</definedName>
    <definedName name="FTA18">'idls09'!$Q$112</definedName>
    <definedName name="FTA7">'idls09'!$N$107</definedName>
    <definedName name="FTA8">'idls09'!$N$108</definedName>
    <definedName name="FTA9">'idls09'!$N$109</definedName>
    <definedName name="FTAX1">'idls09'!$K$115</definedName>
    <definedName name="FTAX10">'idls09'!$N$118</definedName>
    <definedName name="FTAX11">'idls09'!$N$119</definedName>
    <definedName name="FTAX12">'idls09'!$N$120</definedName>
    <definedName name="FTAX13">'idls09'!$Q$115</definedName>
    <definedName name="FTAX14">'idls09'!$Q$116</definedName>
    <definedName name="FTAX15">'idls09'!$Q$117</definedName>
    <definedName name="FTAX16">'idls09'!$Q$118</definedName>
    <definedName name="FTAX17">'idls09'!$Q$119</definedName>
    <definedName name="FTAX18">'idls09'!$Q$120</definedName>
    <definedName name="FTAX2">'idls09'!$K$116</definedName>
    <definedName name="FTAX3">'idls09'!$K$117</definedName>
    <definedName name="FTAX4">'idls09'!$K$118</definedName>
    <definedName name="FTAX5">'idls09'!$K$119</definedName>
    <definedName name="FTAX6">'idls09'!$K$120</definedName>
    <definedName name="FTAX7">'idls09'!$N$115</definedName>
    <definedName name="FTAX8">'idls09'!$N$116</definedName>
    <definedName name="FTAX9">'idls09'!$N$117</definedName>
    <definedName name="FTG1">'idls09'!$K$67</definedName>
    <definedName name="FTG10">'idls09'!$N$70</definedName>
    <definedName name="FTG11">'idls09'!$N$71</definedName>
    <definedName name="FTG12">'idls09'!$N$72</definedName>
    <definedName name="FTG13">'idls09'!$Q$67</definedName>
    <definedName name="FTG14">'idls09'!$Q$68</definedName>
    <definedName name="FTG15">'idls09'!$Q$69</definedName>
    <definedName name="FTG16">'idls09'!$Q$70</definedName>
    <definedName name="FTG17">'idls09'!$Q$71</definedName>
    <definedName name="FTG18">'idls09'!$Q$72</definedName>
    <definedName name="FTG7">'idls09'!$N$67</definedName>
    <definedName name="FTG8">'idls09'!$N$68</definedName>
    <definedName name="FTG9">'idls09'!$N$69</definedName>
    <definedName name="FTXTBLM">'idls09'!$X$17:$Z$24</definedName>
    <definedName name="FTXTBLM2">'idls09'!$AH$17:$AJ$24</definedName>
    <definedName name="FTXTBLM3">'idls09'!$AR$17:$AT$24</definedName>
    <definedName name="FTXTBLSH">'idls09'!$X$6:$Z$13</definedName>
    <definedName name="FTXTBLSH2">'idls09'!$AH$6:$AJ$13</definedName>
    <definedName name="FTXTBLSH3">'idls09'!$AR$6:$AT$13</definedName>
    <definedName name="Full_Net">'idls09'!$B$30</definedName>
    <definedName name="Gross_Net">'idls09'!$K$2</definedName>
    <definedName name="Grs_Full_Supple">'idls09'!$B$33</definedName>
    <definedName name="IDL_2_3">'idls09'!$K$5</definedName>
    <definedName name="IDL_23_Days">'idls09'!$B$20</definedName>
    <definedName name="IDL_23_Grs">'idls09'!$P$11</definedName>
    <definedName name="IDL_23_Hrs">'idls09'!$C$20</definedName>
    <definedName name="IDL_23_Net">'idls09'!$F$30</definedName>
    <definedName name="IDL_Full">'idls09'!$K$4</definedName>
    <definedName name="IDL_Full_Days">'idls09'!$B$19</definedName>
    <definedName name="IDL_Full_Hrs">'idls09'!$C$19</definedName>
    <definedName name="IDL_Full_Net">'idls09'!$D$30</definedName>
    <definedName name="IDL_Grs">'idls09'!$P$9</definedName>
    <definedName name="INSTRUCTIONS">'idls09'!$A$42:$H$64</definedName>
    <definedName name="Iss_Date">'idls09'!$P$19:$Q$31</definedName>
    <definedName name="Iss_Mon_Yr">'idls09'!$D$15</definedName>
    <definedName name="IT">'idls09'!$A$1:$H$25</definedName>
    <definedName name="LIE">'idls09'!$K$123</definedName>
    <definedName name="LIE2">'idls09'!$N$123</definedName>
    <definedName name="LIE3">'idls09'!$Q$123</definedName>
    <definedName name="LIEH">'idls09'!$AE$8</definedName>
    <definedName name="LIEH2">'idls09'!$AO$8</definedName>
    <definedName name="LIEH3">'idls09'!$AY$8</definedName>
    <definedName name="LIEM1">'idls09'!$AC$8</definedName>
    <definedName name="LIEM2">'idls09'!$AD$8</definedName>
    <definedName name="LIEM3">'idls09'!$AM$8</definedName>
    <definedName name="LIEM4">'idls09'!$AN$8</definedName>
    <definedName name="LIEM5">'idls09'!$AW$8</definedName>
    <definedName name="LIEM6">'idls09'!$AX$8</definedName>
    <definedName name="LIES">'idls09'!$AB$8</definedName>
    <definedName name="LIES2">'idls09'!$AL$8</definedName>
    <definedName name="LIES3">'idls09'!$AV$8</definedName>
    <definedName name="Locked_in_Pay">'idls09'!$D$6</definedName>
    <definedName name="MACROS">'idls09'!$AJ$40:$AQ$102</definedName>
    <definedName name="Mand_Hold_Factor">'idls09'!$S$57:$T$68</definedName>
    <definedName name="Mand_Hold_Factor2">'idls09'!$S$74:$T$85</definedName>
    <definedName name="MD_">'idls09'!$W$2</definedName>
    <definedName name="MED">'idls09'!$U$3</definedName>
    <definedName name="MED_">'idls09'!$U$2</definedName>
    <definedName name="NOMED_">'idls09'!$W$3</definedName>
    <definedName name="NOOA_">'idls09'!$V$3</definedName>
    <definedName name="OA_">'idls09'!$V$2</definedName>
    <definedName name="OAC">'idls09'!$B$10</definedName>
    <definedName name="OASDI">'idls09'!$U$5</definedName>
    <definedName name="OASDI_">'idls09'!$U$4</definedName>
    <definedName name="Org_Hr_Rate">'idls09'!$K$7</definedName>
    <definedName name="Org_Sal_Rate">'idls09'!$Q$1</definedName>
    <definedName name="Pay_Period">'idls09'!$D$8</definedName>
    <definedName name="PAYFACT">'idls09'!$K$56</definedName>
    <definedName name="PAYFACT2">'idls09'!$N$56</definedName>
    <definedName name="PAYFACT3">'idls09'!$Q$56</definedName>
    <definedName name="PayFreq">'idls09'!$B$5</definedName>
    <definedName name="PER1">'idls09'!$V$7</definedName>
    <definedName name="PER2">'idls09'!$V$8</definedName>
    <definedName name="PER3">'idls09'!$V$9</definedName>
    <definedName name="PER4">'idls09'!$V$10</definedName>
    <definedName name="_xlnm.Print_Area" localSheetId="0">'idls09'!$A$1:$H$35</definedName>
    <definedName name="Red_Sal_Rate">'idls09'!$D$3</definedName>
    <definedName name="Red_Sal_Rate2">'idls09'!$N$20</definedName>
    <definedName name="Reg_Days">'idls09'!$B$18</definedName>
    <definedName name="Reg_EPMC">'idls09'!$M$3</definedName>
    <definedName name="Reg_Hrs">'idls09'!$C$18</definedName>
    <definedName name="Reg_Med">'idls09'!$M$5</definedName>
    <definedName name="Reg_Net">'idls09'!$C$30</definedName>
    <definedName name="Reg_Net_Grs">'idls09'!$K$3</definedName>
    <definedName name="Reg_SDI">'idls09'!$M$6</definedName>
    <definedName name="Reg_SS">'idls09'!$M$4</definedName>
    <definedName name="Ret_SM_Exl_Apply">'idls09'!$B$9</definedName>
    <definedName name="RETID_TABLE">'idls09'!$X$28:$AA$157</definedName>
    <definedName name="SADDALL">'idls09'!$AC$3</definedName>
    <definedName name="SADDALL2">'idls09'!$AM$3</definedName>
    <definedName name="SADDALL3">'idls09'!$AW$3</definedName>
    <definedName name="SafetyCheck">'idls09'!$V$15</definedName>
    <definedName name="Salary_Per">'idls09'!$G$3</definedName>
    <definedName name="Salary_Rate">'idls09'!$B$3</definedName>
    <definedName name="SBAS10">'idls09'!$N$143</definedName>
    <definedName name="SBAS11">'idls09'!$N$144</definedName>
    <definedName name="SBAS12">'idls09'!$N$145</definedName>
    <definedName name="SBAS15">'idls09'!$Q$142</definedName>
    <definedName name="SBAS16">'idls09'!$Q$143</definedName>
    <definedName name="SBAS17">'idls09'!$Q$144</definedName>
    <definedName name="SBAS18">'idls09'!$Q$145</definedName>
    <definedName name="SBAS9">'idls09'!$N$142</definedName>
    <definedName name="SBSA1">'idls09'!$K$140</definedName>
    <definedName name="SBSA13">'idls09'!$Q$140</definedName>
    <definedName name="SBSA14">'idls09'!$Q$141</definedName>
    <definedName name="SBSA7">'idls09'!$N$140</definedName>
    <definedName name="SBSA8">'idls09'!$N$141</definedName>
    <definedName name="SBST1">'idls09'!$K$156</definedName>
    <definedName name="SBST10">'idls09'!$N$159</definedName>
    <definedName name="SBST11">'idls09'!$N$160</definedName>
    <definedName name="SBST12">'idls09'!$N$161</definedName>
    <definedName name="SBST13">'idls09'!$Q$156</definedName>
    <definedName name="SBST14">'idls09'!$Q$157</definedName>
    <definedName name="SBST15">'idls09'!$Q$158</definedName>
    <definedName name="SBST16">'idls09'!$Q$159</definedName>
    <definedName name="SBST17">'idls09'!$Q$160</definedName>
    <definedName name="SBST18">'idls09'!$Q$161</definedName>
    <definedName name="SBST7">'idls09'!$N$156</definedName>
    <definedName name="SBST8">'idls09'!$N$157</definedName>
    <definedName name="SBST9">'idls09'!$N$158</definedName>
    <definedName name="SDED">'idls09'!$K$125</definedName>
    <definedName name="SDED2">'idls09'!$N$125</definedName>
    <definedName name="SDED3">'idls09'!$Q$125</definedName>
    <definedName name="SDH">'idls09'!$AE$13</definedName>
    <definedName name="SDH2">'idls09'!$AO$13</definedName>
    <definedName name="SDH3">'idls09'!$AY$13</definedName>
    <definedName name="SDI">'idls09'!$B$11</definedName>
    <definedName name="SDI_CBID">'idls09'!$R$27:$S$47</definedName>
    <definedName name="SDI1">'idls09'!$K$17</definedName>
    <definedName name="SDIGRS">'idls09'!$K$18</definedName>
    <definedName name="SDM1">'idls09'!$AC$13</definedName>
    <definedName name="SDM2">'idls09'!$AD$13</definedName>
    <definedName name="SDM3">'idls09'!$AM$13</definedName>
    <definedName name="SDM4">'idls09'!$AN$13</definedName>
    <definedName name="SDM5">'idls09'!$AW$13</definedName>
    <definedName name="SDM6">'idls09'!$AX$13</definedName>
    <definedName name="SDS">'idls09'!$AB$13</definedName>
    <definedName name="SDS2">'idls09'!$AL$13</definedName>
    <definedName name="SDS3">'idls09'!$AV$13</definedName>
    <definedName name="Semi_PP_Days">'idls09'!$G$5</definedName>
    <definedName name="SMTR1">'idls09'!$K$148</definedName>
    <definedName name="SMTR10">'idls09'!$N$151</definedName>
    <definedName name="SMTR11">'idls09'!$N$152</definedName>
    <definedName name="SMTR12">'idls09'!$N$153</definedName>
    <definedName name="SMTR13">'idls09'!$Q$148</definedName>
    <definedName name="SMTR14">'idls09'!$Q$149</definedName>
    <definedName name="SMTR15">'idls09'!$Q$150</definedName>
    <definedName name="SMTR16">'idls09'!$Q$151</definedName>
    <definedName name="SMTR17">'idls09'!$Q$152</definedName>
    <definedName name="SMTR18">'idls09'!$Q$153</definedName>
    <definedName name="SMTR2">'idls09'!$K$149</definedName>
    <definedName name="SMTR3">'idls09'!$K$150</definedName>
    <definedName name="SMTR4">'idls09'!$K$151</definedName>
    <definedName name="SMTR5">'idls09'!$K$152</definedName>
    <definedName name="SMTR6">'idls09'!$K$153</definedName>
    <definedName name="SMTR7">'idls09'!$N$148</definedName>
    <definedName name="SMTR8">'idls09'!$N$149</definedName>
    <definedName name="SMTR9">'idls09'!$N$150</definedName>
    <definedName name="SORV10">'idls09'!$N$167</definedName>
    <definedName name="SORV11">'idls09'!$N$168</definedName>
    <definedName name="SORV12">'idls09'!$N$169</definedName>
    <definedName name="SORV16">'idls09'!$Q$167</definedName>
    <definedName name="SORV17">'idls09'!$Q$168</definedName>
    <definedName name="SORV18">'idls09'!$Q$169</definedName>
    <definedName name="SOVR1">'idls09'!$K$164</definedName>
    <definedName name="SOVR13">'idls09'!$Q$164</definedName>
    <definedName name="SOVR14">'idls09'!$Q$165</definedName>
    <definedName name="SOVR15">'idls09'!$Q$166</definedName>
    <definedName name="SOVR7">'idls09'!$N$164</definedName>
    <definedName name="SOVR8">'idls09'!$N$165</definedName>
    <definedName name="SOVR9">'idls09'!$N$166</definedName>
    <definedName name="STA">'idls09'!$B$15</definedName>
    <definedName name="STA1">'idls09'!$K$172</definedName>
    <definedName name="STA10">'idls09'!$N$175</definedName>
    <definedName name="STA11">'idls09'!$N$176</definedName>
    <definedName name="STA12">'idls09'!$N$177</definedName>
    <definedName name="STA13">'idls09'!$Q$172</definedName>
    <definedName name="STA14">'idls09'!$Q$173</definedName>
    <definedName name="STA15">'idls09'!$Q$174</definedName>
    <definedName name="STA16">'idls09'!$Q$175</definedName>
    <definedName name="STA17">'idls09'!$Q$176</definedName>
    <definedName name="STA18">'idls09'!$Q$177</definedName>
    <definedName name="STA7">'idls09'!$N$172</definedName>
    <definedName name="STA8">'idls09'!$N$173</definedName>
    <definedName name="STA9">'idls09'!$N$174</definedName>
    <definedName name="STATE">'idls09'!$AB$1:$AI$98</definedName>
    <definedName name="STAX1">'idls09'!$K$180</definedName>
    <definedName name="STAX10">'idls09'!$N$183</definedName>
    <definedName name="STAX11">'idls09'!$N$184</definedName>
    <definedName name="STAX12">'idls09'!$N$185</definedName>
    <definedName name="STAX13">'idls09'!$Q$180</definedName>
    <definedName name="STAX14">'idls09'!$Q$181</definedName>
    <definedName name="STAX15">'idls09'!$Q$182</definedName>
    <definedName name="STAX16">'idls09'!$Q$183</definedName>
    <definedName name="STAX17">'idls09'!$Q$184</definedName>
    <definedName name="STAX18">'idls09'!$Q$185</definedName>
    <definedName name="STAX2">'idls09'!$K$181</definedName>
    <definedName name="STAX3">'idls09'!$K$182</definedName>
    <definedName name="STAX4">'idls09'!$K$183</definedName>
    <definedName name="STAX5">'idls09'!$K$184</definedName>
    <definedName name="STAX6">'idls09'!$K$185</definedName>
    <definedName name="STAX7">'idls09'!$N$180</definedName>
    <definedName name="STAX8">'idls09'!$N$181</definedName>
    <definedName name="STAX9">'idls09'!$N$182</definedName>
    <definedName name="STE">'idls09'!$D$14</definedName>
    <definedName name="STG1">'idls09'!$K$132</definedName>
    <definedName name="STG10">'idls09'!$N$135</definedName>
    <definedName name="STG11">'idls09'!$N$136</definedName>
    <definedName name="STG12">'idls09'!$N$137</definedName>
    <definedName name="STG13">'idls09'!$Q$132</definedName>
    <definedName name="STG14">'idls09'!$Q$133</definedName>
    <definedName name="STG15">'idls09'!$Q$134</definedName>
    <definedName name="STG16">'idls09'!$Q$135</definedName>
    <definedName name="STG17">'idls09'!$Q$136</definedName>
    <definedName name="STG18">'idls09'!$Q$137</definedName>
    <definedName name="STG7">'idls09'!$N$132</definedName>
    <definedName name="STG8">'idls09'!$N$133</definedName>
    <definedName name="STG9">'idls09'!$N$134</definedName>
    <definedName name="STM">'idls09'!$B$14</definedName>
    <definedName name="STXTBLH2">'idls09'!$AL$45:$AN$55</definedName>
    <definedName name="STXTBLH3">'idls09'!$AV$45:$AX$55</definedName>
    <definedName name="STXTBLH4">'idls09'!$BA$45:$BC$55</definedName>
    <definedName name="STXTBLM">'idls09'!$AB$31:$AD$41</definedName>
    <definedName name="STXTBLM2">'idls09'!$AL$31:$AN$41</definedName>
    <definedName name="STXTBLM3">'idls09'!$AV$31:$AX$41</definedName>
    <definedName name="STXTBLM4">'idls09'!$BA$31:$BC$41</definedName>
    <definedName name="STXTBLS">'idls09'!$AB$17:$AD$27</definedName>
    <definedName name="STXTBLS2">'idls09'!$AL$17:$AN$27</definedName>
    <definedName name="STXTBLS3">'idls09'!$AV$17:$AX$27</definedName>
    <definedName name="STXTBLS4">'idls09'!$BA$17:$BC$27</definedName>
    <definedName name="STXTBLUH">'idls09'!$AB$45:$AD$55</definedName>
    <definedName name="Supple_Gross_Net">'idls09'!$B$32</definedName>
    <definedName name="Tax_Charts">'idls09'!$D$11</definedName>
    <definedName name="TCRM0">'idls09'!$AC$61</definedName>
    <definedName name="TCRM1">'idls09'!$AD$61</definedName>
    <definedName name="TCRM2">'idls09'!$AE$61</definedName>
    <definedName name="TCRM3">'idls09'!$AN$61</definedName>
    <definedName name="TCRM4">'idls09'!$AO$61</definedName>
    <definedName name="TCRM5">'idls09'!$AX$61</definedName>
    <definedName name="TCRM6">'idls09'!$AY$61</definedName>
    <definedName name="TCRMR">'idls09'!$AF$61</definedName>
    <definedName name="TCRMR2">'idls09'!$AP$61</definedName>
    <definedName name="TCRMR3">'idls09'!$AZ$61</definedName>
    <definedName name="TCRMR4">'idls09'!$BC$61</definedName>
    <definedName name="TCRS0">'idls09'!$AC$60</definedName>
    <definedName name="TCRS1">'idls09'!$AD$60</definedName>
    <definedName name="TCRS2">'idls09'!$AE$60</definedName>
    <definedName name="TCRS3">'idls09'!$AN$60</definedName>
    <definedName name="TCRS4">'idls09'!$AO$60</definedName>
    <definedName name="TCRS5">'idls09'!$AX$60</definedName>
    <definedName name="TCRS6">'idls09'!$AY$60</definedName>
    <definedName name="TCRSR">'idls09'!$AF$60</definedName>
    <definedName name="TCRSR2">'idls09'!$AP$60</definedName>
    <definedName name="TCRSR3">'idls09'!$AZ$60</definedName>
    <definedName name="TCRSR4">'idls09'!$BC$60</definedName>
    <definedName name="TG1">'idls09'!$K$48</definedName>
    <definedName name="TG10">'idls09'!$N$51</definedName>
    <definedName name="TG11">'idls09'!$N$52</definedName>
    <definedName name="TG12">'idls09'!$N$53</definedName>
    <definedName name="TG13">'idls09'!$Q$48</definedName>
    <definedName name="TG14">'idls09'!$Q$49</definedName>
    <definedName name="TG15">'idls09'!$Q$50</definedName>
    <definedName name="TG16">'idls09'!$Q$51</definedName>
    <definedName name="TG17">'idls09'!$Q$52</definedName>
    <definedName name="TG18">'idls09'!$Q$53</definedName>
    <definedName name="TG2">'idls09'!$K$49</definedName>
    <definedName name="TG3">'idls09'!$K$50</definedName>
    <definedName name="TG4">'idls09'!$K$51</definedName>
    <definedName name="TG5">'idls09'!$K$52</definedName>
    <definedName name="TG6">'idls09'!$K$53</definedName>
    <definedName name="TG7">'idls09'!$N$48</definedName>
    <definedName name="TG8">'idls09'!$N$49</definedName>
    <definedName name="TG9">'idls09'!$N$50</definedName>
    <definedName name="Time_Base">'idls09'!$B$6</definedName>
    <definedName name="Time_Base_Hrs">'idls09'!$N$17</definedName>
    <definedName name="TxChart_code">'idls09'!$P$14</definedName>
    <definedName name="TXCRB">'idls09'!$K$126</definedName>
    <definedName name="TXCRB2">'idls09'!$N$126</definedName>
    <definedName name="TXCRB3">'idls09'!$Q$126</definedName>
    <definedName name="TXCREDIT">'idls09'!$K$129</definedName>
    <definedName name="TXCREDIT2">'idls09'!$N$129</definedName>
    <definedName name="TXCREDIT3">'idls09'!$Q$129</definedName>
    <definedName name="TXCROV2">'idls09'!$K$127</definedName>
    <definedName name="TXCROV3">'idls09'!$N$127</definedName>
    <definedName name="TXCROV4">'idls09'!$Q$127</definedName>
    <definedName name="TXCRR">'idls09'!$K$128</definedName>
    <definedName name="TXCRR2">'idls09'!$N$128</definedName>
    <definedName name="TXCRR3">'idls09'!$Q$128</definedName>
    <definedName name="TXCRR4">'idls09'!$BE$60</definedName>
    <definedName name="VOLDEDS">'idls09'!$B$21</definedName>
    <definedName name="Withhold_Factor">'idls09'!$T$55</definedName>
    <definedName name="Withhold_Factor2">'idls09'!$T$72</definedName>
    <definedName name="WORK">'idls09'!$J$1:$V$162</definedName>
  </definedNames>
  <calcPr calcMode="manual" fullCalcOnLoad="1"/>
</workbook>
</file>

<file path=xl/sharedStrings.xml><?xml version="1.0" encoding="utf-8"?>
<sst xmlns="http://schemas.openxmlformats.org/spreadsheetml/2006/main" count="1135" uniqueCount="719">
  <si>
    <t>SS %</t>
  </si>
  <si>
    <t>MED %</t>
  </si>
  <si>
    <t>FEDERAL INCOME TAX EXEMPTION</t>
  </si>
  <si>
    <t>STATE INCOME TAX</t>
  </si>
  <si>
    <t xml:space="preserve"> </t>
  </si>
  <si>
    <t>MED%</t>
  </si>
  <si>
    <t>ADDITIONAL ALLOWANCES</t>
  </si>
  <si>
    <t>MED</t>
  </si>
  <si>
    <t>SS%</t>
  </si>
  <si>
    <t>SINGLE/HEAD OF HOUSEHOLD</t>
  </si>
  <si>
    <t>SS</t>
  </si>
  <si>
    <t>EPMC</t>
  </si>
  <si>
    <t>BASE AMT</t>
  </si>
  <si>
    <t>PERCENT</t>
  </si>
  <si>
    <t>BASE TAX</t>
  </si>
  <si>
    <t xml:space="preserve">          LOW INCOME TAX EXEMPTION</t>
  </si>
  <si>
    <t>EPMC DED</t>
  </si>
  <si>
    <t>EXC AMT</t>
  </si>
  <si>
    <t>%</t>
  </si>
  <si>
    <t xml:space="preserve"> --- MARRIED ---</t>
  </si>
  <si>
    <t>HEAD OF</t>
  </si>
  <si>
    <t>(1-99)</t>
  </si>
  <si>
    <t>EPMC%</t>
  </si>
  <si>
    <t>SINGLE</t>
  </si>
  <si>
    <t>0 or 1</t>
  </si>
  <si>
    <t>2 or more</t>
  </si>
  <si>
    <t>HOUSEHOLD</t>
  </si>
  <si>
    <t>State Marital Status</t>
  </si>
  <si>
    <t>SSTXG</t>
  </si>
  <si>
    <t>MEDTXG</t>
  </si>
  <si>
    <t xml:space="preserve">       STANDARD DEDUCTION TABLE</t>
  </si>
  <si>
    <t>TXGRS1</t>
  </si>
  <si>
    <t>TXGRS2</t>
  </si>
  <si>
    <t>TXGRS3</t>
  </si>
  <si>
    <t>RETIREMENT %-L/T/J</t>
  </si>
  <si>
    <t>TXGRS4</t>
  </si>
  <si>
    <t>EPMC%2</t>
  </si>
  <si>
    <t>TXGRS5</t>
  </si>
  <si>
    <t>MARRIED</t>
  </si>
  <si>
    <t xml:space="preserve"> ------- SINGLE --------</t>
  </si>
  <si>
    <t>TXGRS6</t>
  </si>
  <si>
    <t xml:space="preserve">      FEDERAL TAX</t>
  </si>
  <si>
    <t>PAYFACT</t>
  </si>
  <si>
    <t>FED EXM</t>
  </si>
  <si>
    <t>ANNUALIZED GROSS</t>
  </si>
  <si>
    <t>FAN1</t>
  </si>
  <si>
    <t>FAN2</t>
  </si>
  <si>
    <t>FAN3</t>
  </si>
  <si>
    <t>FAN4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</si>
  <si>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</si>
  <si>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</si>
  <si>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</si>
  <si>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</si>
  <si>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</si>
  <si>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</si>
  <si>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</si>
  <si>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</si>
  <si>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</si>
  <si>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</si>
  <si>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</si>
  <si>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</si>
  <si>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</si>
  <si>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</si>
  <si>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</si>
  <si>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</si>
  <si>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FBAS4</t>
  </si>
  <si>
    <t>FBAS5</t>
  </si>
  <si>
    <t>FBAS6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</si>
  <si>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</si>
  <si>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</si>
  <si>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</si>
  <si>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</si>
  <si>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</si>
  <si>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</si>
  <si>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</si>
  <si>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</si>
  <si>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</si>
  <si>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</si>
  <si>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</si>
  <si>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</si>
  <si>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</si>
  <si>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</si>
  <si>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</si>
  <si>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</si>
  <si>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</si>
  <si>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</si>
  <si>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</si>
  <si>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</si>
  <si>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</si>
  <si>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</si>
  <si>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</si>
  <si>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</si>
  <si>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</si>
  <si>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</si>
  <si>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</si>
  <si>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</si>
  <si>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</si>
  <si>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 xml:space="preserve">   ANNUALIZED TAX</t>
  </si>
  <si>
    <t>FTA1</t>
  </si>
  <si>
    <t>FTA2</t>
  </si>
  <si>
    <t>FTA3</t>
  </si>
  <si>
    <t>FTA4</t>
  </si>
  <si>
    <t>FTA5</t>
  </si>
  <si>
    <t>FTA6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</si>
  <si>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</si>
  <si>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</si>
  <si>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</si>
  <si>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</si>
  <si>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</si>
  <si>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</si>
  <si>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</si>
  <si>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</si>
  <si>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</si>
  <si>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</si>
  <si>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</si>
  <si>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</si>
  <si>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</si>
  <si>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</si>
  <si>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</si>
  <si>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</si>
  <si>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</si>
  <si>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</si>
  <si>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</si>
  <si>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</si>
  <si>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</si>
  <si>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</si>
  <si>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</si>
  <si>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</si>
  <si>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</si>
  <si>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</si>
  <si>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</si>
  <si>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</si>
  <si>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</si>
  <si>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</si>
  <si>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</si>
  <si>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</si>
  <si>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</si>
  <si>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</si>
  <si>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</si>
  <si>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</si>
  <si>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</si>
  <si>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</si>
  <si>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</si>
  <si>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</si>
  <si>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</si>
  <si>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</si>
  <si>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</si>
  <si>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</si>
  <si>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</si>
  <si>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</si>
  <si>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</si>
  <si>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</si>
  <si>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</si>
  <si>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</si>
  <si>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</si>
  <si>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</si>
  <si>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</si>
  <si>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</si>
  <si>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</si>
  <si>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</si>
  <si>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</si>
  <si>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</si>
  <si>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</si>
  <si>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</si>
  <si>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</si>
  <si>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</si>
  <si>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</si>
  <si>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</si>
  <si>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Collective Bargaining Unit</t>
  </si>
  <si>
    <t>EMPCR%</t>
  </si>
  <si>
    <t>U</t>
  </si>
  <si>
    <t>C</t>
  </si>
  <si>
    <t>SD</t>
  </si>
  <si>
    <t>SafetyCheck</t>
  </si>
  <si>
    <t>M</t>
  </si>
  <si>
    <t>SDI</t>
  </si>
  <si>
    <t>SDI1</t>
  </si>
  <si>
    <t>SDIGRS</t>
  </si>
  <si>
    <t>SDI Withheld</t>
  </si>
  <si>
    <t>SDI %</t>
  </si>
  <si>
    <t>NO</t>
  </si>
  <si>
    <t>Salary Information</t>
  </si>
  <si>
    <t>Original Salary Rate</t>
  </si>
  <si>
    <t>T</t>
  </si>
  <si>
    <t>Time Base Fraction</t>
  </si>
  <si>
    <t>Retirement/SDI Information</t>
  </si>
  <si>
    <t>Retirement ID</t>
  </si>
  <si>
    <t>Pay Period</t>
  </si>
  <si>
    <t>Federal/State Tax Information</t>
  </si>
  <si>
    <t>Federal Filing Status</t>
  </si>
  <si>
    <t>(M, S) (1-99)</t>
  </si>
  <si>
    <t>(21/22)</t>
  </si>
  <si>
    <t>(M, S, H) (1-99)</t>
  </si>
  <si>
    <t>Additional State Allowances</t>
  </si>
  <si>
    <t>Time for</t>
  </si>
  <si>
    <t>Days</t>
  </si>
  <si>
    <t>Hours</t>
  </si>
  <si>
    <t>Regular Pay</t>
  </si>
  <si>
    <t>IDL Full Pay</t>
  </si>
  <si>
    <t>IDL 2/3 Pay</t>
  </si>
  <si>
    <t>Full Net</t>
  </si>
  <si>
    <t>Regular</t>
  </si>
  <si>
    <t>IDL Full</t>
  </si>
  <si>
    <t>IDL 2/3</t>
  </si>
  <si>
    <t>Gross</t>
  </si>
  <si>
    <t>Retirement</t>
  </si>
  <si>
    <t>Social Security</t>
  </si>
  <si>
    <t>Medicare</t>
  </si>
  <si>
    <t>Federal Tax</t>
  </si>
  <si>
    <t>State Tax</t>
  </si>
  <si>
    <t>Gross Net</t>
  </si>
  <si>
    <t>Reg Net</t>
  </si>
  <si>
    <t>PP Hours</t>
  </si>
  <si>
    <t>Reg Hr Rate</t>
  </si>
  <si>
    <t>Org Hr Rate</t>
  </si>
  <si>
    <t>Reg Time</t>
  </si>
  <si>
    <t>IDL F Time</t>
  </si>
  <si>
    <t>IDL 2/3 Time</t>
  </si>
  <si>
    <t>Total Time</t>
  </si>
  <si>
    <t xml:space="preserve">Apply Exclusion Amt </t>
  </si>
  <si>
    <t>RETID, EXL AMT, SS, MED</t>
  </si>
  <si>
    <t>RETID</t>
  </si>
  <si>
    <t>EXL AMT</t>
  </si>
  <si>
    <t>N</t>
  </si>
  <si>
    <t>S</t>
  </si>
  <si>
    <t>1A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</si>
  <si>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</si>
  <si>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</si>
  <si>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</si>
  <si>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</si>
  <si>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</si>
  <si>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</si>
  <si>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</si>
  <si>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</si>
  <si>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</si>
  <si>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</si>
  <si>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</si>
  <si>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</si>
  <si>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</si>
  <si>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</si>
  <si>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</si>
  <si>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4P</t>
  </si>
  <si>
    <t>4R</t>
  </si>
  <si>
    <t>4S</t>
  </si>
  <si>
    <t>4T</t>
  </si>
  <si>
    <t>4X</t>
  </si>
  <si>
    <t>4Y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</si>
  <si>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</si>
  <si>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</si>
  <si>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</si>
  <si>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</si>
  <si>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</si>
  <si>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</si>
  <si>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</si>
  <si>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</si>
  <si>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</si>
  <si>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</si>
  <si>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</si>
  <si>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</si>
  <si>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6J</t>
  </si>
  <si>
    <t>6K</t>
  </si>
  <si>
    <t>6L</t>
  </si>
  <si>
    <t>6M</t>
  </si>
  <si>
    <t>6P</t>
  </si>
  <si>
    <t>6R</t>
  </si>
  <si>
    <t>6S</t>
  </si>
  <si>
    <t>9A</t>
  </si>
  <si>
    <t>9B</t>
  </si>
  <si>
    <t>9C</t>
  </si>
  <si>
    <t>9D</t>
  </si>
  <si>
    <t>J</t>
  </si>
  <si>
    <t>JA</t>
  </si>
  <si>
    <t>JB</t>
  </si>
  <si>
    <t>JM</t>
  </si>
  <si>
    <t>NM</t>
  </si>
  <si>
    <t>TA</t>
  </si>
  <si>
    <t>TD</t>
  </si>
  <si>
    <t>TE</t>
  </si>
  <si>
    <t>TF</t>
  </si>
  <si>
    <t>TG</t>
  </si>
  <si>
    <t>TH</t>
  </si>
  <si>
    <t>TM</t>
  </si>
  <si>
    <t>TJ</t>
  </si>
  <si>
    <t>TK</t>
  </si>
  <si>
    <t>TL</t>
  </si>
  <si>
    <t>TN</t>
  </si>
  <si>
    <t>TP</t>
  </si>
  <si>
    <t>TR</t>
  </si>
  <si>
    <t>TS</t>
  </si>
  <si>
    <t>TX</t>
  </si>
  <si>
    <t>TY</t>
  </si>
  <si>
    <t>TZ</t>
  </si>
  <si>
    <t>Look up Retire Data</t>
  </si>
  <si>
    <t>SS/Med</t>
  </si>
  <si>
    <t>Exl amt</t>
  </si>
  <si>
    <t>Percent</t>
  </si>
  <si>
    <t>Regular Amt</t>
  </si>
  <si>
    <t>Med</t>
  </si>
  <si>
    <t>Fed</t>
  </si>
  <si>
    <t>State</t>
  </si>
  <si>
    <t>Total</t>
  </si>
  <si>
    <t>IDL Grs</t>
  </si>
  <si>
    <t>Supplementation Gross Net:</t>
  </si>
  <si>
    <t>Divided By</t>
  </si>
  <si>
    <t>=</t>
  </si>
  <si>
    <t>Leave Credit Hours Required for Full Supplementation:</t>
  </si>
  <si>
    <t>Days:</t>
  </si>
  <si>
    <t>Hours:</t>
  </si>
  <si>
    <t>Hourly Rate Used for Calc:</t>
  </si>
  <si>
    <t>Gross for Full Supplementation:</t>
  </si>
  <si>
    <t>Mandatory Withhold Factor</t>
  </si>
  <si>
    <t>Med only</t>
  </si>
  <si>
    <t>Sub Fed State</t>
  </si>
  <si>
    <t>Exmp Fed State</t>
  </si>
  <si>
    <t>Sub Fed Exmp State</t>
  </si>
  <si>
    <t>Sub State Exmp Fed</t>
  </si>
  <si>
    <t>#1 - 6</t>
  </si>
  <si>
    <t>#7-12</t>
  </si>
  <si>
    <t>Sup Grs</t>
  </si>
  <si>
    <t>Sup Full</t>
  </si>
  <si>
    <t>Supplementation Data</t>
  </si>
  <si>
    <t>COMPUTED FIELDS</t>
  </si>
  <si>
    <t>Tax Eff 1/1/09</t>
  </si>
  <si>
    <t>Tax Eff 3/31/09</t>
  </si>
  <si>
    <t>Taxes Effeictive 5/4/09</t>
  </si>
  <si>
    <t>Taxes Effeictive 3/31/09</t>
  </si>
  <si>
    <t>S/M</t>
  </si>
  <si>
    <t>Taxes Effeictive 1/1/09</t>
  </si>
  <si>
    <t>&lt;Gross</t>
  </si>
  <si>
    <t>&lt;Reg Grs</t>
  </si>
  <si>
    <t>&lt;Reg+IDL Grs</t>
  </si>
  <si>
    <t>&lt;Not in use</t>
  </si>
  <si>
    <t>FAN7</t>
  </si>
  <si>
    <t>TXGRS7</t>
  </si>
  <si>
    <t>FTG7</t>
  </si>
  <si>
    <t>FBSA7</t>
  </si>
  <si>
    <t>FMTR7</t>
  </si>
  <si>
    <t>FBST7</t>
  </si>
  <si>
    <t>FOVR7</t>
  </si>
  <si>
    <t>FTA7</t>
  </si>
  <si>
    <t>FTAX7</t>
  </si>
  <si>
    <t>TXGRS8</t>
  </si>
  <si>
    <t>FAN8</t>
  </si>
  <si>
    <t>FTG8</t>
  </si>
  <si>
    <t>FBSA8</t>
  </si>
  <si>
    <t>FMTR8</t>
  </si>
  <si>
    <t>FBST8</t>
  </si>
  <si>
    <t>FOVR8</t>
  </si>
  <si>
    <t>FTA8</t>
  </si>
  <si>
    <t>FTAX8</t>
  </si>
  <si>
    <t>TXGRS9</t>
  </si>
  <si>
    <t>FAN9</t>
  </si>
  <si>
    <t>FTG9</t>
  </si>
  <si>
    <t>FBSA9</t>
  </si>
  <si>
    <t>FMTR9</t>
  </si>
  <si>
    <t>FBST9</t>
  </si>
  <si>
    <t>FOVR9</t>
  </si>
  <si>
    <t>FTA9</t>
  </si>
  <si>
    <t>FTAX9</t>
  </si>
  <si>
    <t>TXGRS10</t>
  </si>
  <si>
    <t>FAN10</t>
  </si>
  <si>
    <t>FTG10</t>
  </si>
  <si>
    <t>FBAS10</t>
  </si>
  <si>
    <t>FMTR10</t>
  </si>
  <si>
    <t>FBST10</t>
  </si>
  <si>
    <t>FOVR10</t>
  </si>
  <si>
    <t>FTA10</t>
  </si>
  <si>
    <t>FTAX10</t>
  </si>
  <si>
    <t>TXGRS11</t>
  </si>
  <si>
    <t>FAN11</t>
  </si>
  <si>
    <t>FTG11</t>
  </si>
  <si>
    <t>FBAS11</t>
  </si>
  <si>
    <t>FMTR11</t>
  </si>
  <si>
    <t>FBST11</t>
  </si>
  <si>
    <t>FOVR11</t>
  </si>
  <si>
    <t>FTA11</t>
  </si>
  <si>
    <t>FTAX11</t>
  </si>
  <si>
    <t>TXGRS12</t>
  </si>
  <si>
    <t>FAN12</t>
  </si>
  <si>
    <t>FTG12</t>
  </si>
  <si>
    <t>FBAS12</t>
  </si>
  <si>
    <t>FMTR12</t>
  </si>
  <si>
    <t>FBST12</t>
  </si>
  <si>
    <t>FOVR12</t>
  </si>
  <si>
    <t>FTA12</t>
  </si>
  <si>
    <t>FTAX12</t>
  </si>
  <si>
    <t>TXGRS18</t>
  </si>
  <si>
    <t>FAN18</t>
  </si>
  <si>
    <t>FTG18</t>
  </si>
  <si>
    <t>FBAS18</t>
  </si>
  <si>
    <t>FMTR18</t>
  </si>
  <si>
    <t>FBST18</t>
  </si>
  <si>
    <t>FOVR18</t>
  </si>
  <si>
    <t>FTA18</t>
  </si>
  <si>
    <t>FTAX18</t>
  </si>
  <si>
    <t>STG18</t>
  </si>
  <si>
    <t>SBAS18</t>
  </si>
  <si>
    <t>SMTR18</t>
  </si>
  <si>
    <t>SBST18</t>
  </si>
  <si>
    <t>SORV18</t>
  </si>
  <si>
    <t>STA18</t>
  </si>
  <si>
    <t>STAX18</t>
  </si>
  <si>
    <t>TXGRS17</t>
  </si>
  <si>
    <t>FAN17</t>
  </si>
  <si>
    <t>FTG17</t>
  </si>
  <si>
    <t>FBAS17</t>
  </si>
  <si>
    <t>FMTR17</t>
  </si>
  <si>
    <t>FBST17</t>
  </si>
  <si>
    <t>FOVR17</t>
  </si>
  <si>
    <t>FTA17</t>
  </si>
  <si>
    <t>FTAX17</t>
  </si>
  <si>
    <t>STG17</t>
  </si>
  <si>
    <t>SBAS17</t>
  </si>
  <si>
    <t>SMTR17</t>
  </si>
  <si>
    <t>SBST17</t>
  </si>
  <si>
    <t>SORV17</t>
  </si>
  <si>
    <t>STA17</t>
  </si>
  <si>
    <t>STAX17</t>
  </si>
  <si>
    <t>TXGRS16</t>
  </si>
  <si>
    <t>FAN16</t>
  </si>
  <si>
    <t>FTG16</t>
  </si>
  <si>
    <t>FBAS16</t>
  </si>
  <si>
    <t>FMTR16</t>
  </si>
  <si>
    <t>FBST16</t>
  </si>
  <si>
    <t>FOVR16</t>
  </si>
  <si>
    <t>FTA16</t>
  </si>
  <si>
    <t>FTAX16</t>
  </si>
  <si>
    <t>STG16</t>
  </si>
  <si>
    <t>SBAS16</t>
  </si>
  <si>
    <t>SMTR16</t>
  </si>
  <si>
    <t>SBST16</t>
  </si>
  <si>
    <t>SORV16</t>
  </si>
  <si>
    <t>STA16</t>
  </si>
  <si>
    <t>STAX16</t>
  </si>
  <si>
    <t>TXGRS15</t>
  </si>
  <si>
    <t>FAN15</t>
  </si>
  <si>
    <t>FTG15</t>
  </si>
  <si>
    <t>FBSA15</t>
  </si>
  <si>
    <t>FMTR15</t>
  </si>
  <si>
    <t>FBST15</t>
  </si>
  <si>
    <t>FOVR15</t>
  </si>
  <si>
    <t>FTA15</t>
  </si>
  <si>
    <t>FTAX15</t>
  </si>
  <si>
    <t>STG15</t>
  </si>
  <si>
    <t>SBAS15</t>
  </si>
  <si>
    <t>SMTR15</t>
  </si>
  <si>
    <t>SBST15</t>
  </si>
  <si>
    <t>SOVR15</t>
  </si>
  <si>
    <t>STA15</t>
  </si>
  <si>
    <t>STAX15</t>
  </si>
  <si>
    <t>TXGRS14</t>
  </si>
  <si>
    <t>FAN14</t>
  </si>
  <si>
    <t>FTG14</t>
  </si>
  <si>
    <t>FBSA14</t>
  </si>
  <si>
    <t>FMTR14</t>
  </si>
  <si>
    <t>FBST14</t>
  </si>
  <si>
    <t>FOVR14</t>
  </si>
  <si>
    <t>FTA14</t>
  </si>
  <si>
    <t>FTAX14</t>
  </si>
  <si>
    <t>STG14</t>
  </si>
  <si>
    <t>SBSA14</t>
  </si>
  <si>
    <t>SMTR14</t>
  </si>
  <si>
    <t>SBST14</t>
  </si>
  <si>
    <t>SOVR14</t>
  </si>
  <si>
    <t>STA14</t>
  </si>
  <si>
    <t>STAX14</t>
  </si>
  <si>
    <t>TXGRS13</t>
  </si>
  <si>
    <t>FAN13</t>
  </si>
  <si>
    <t>FTG13</t>
  </si>
  <si>
    <t>FBSA13</t>
  </si>
  <si>
    <t>FMTR13</t>
  </si>
  <si>
    <t>FBST13</t>
  </si>
  <si>
    <t>FOVR13</t>
  </si>
  <si>
    <t>FTA13</t>
  </si>
  <si>
    <t>FTAX13</t>
  </si>
  <si>
    <t>STG13</t>
  </si>
  <si>
    <t>SBSA13</t>
  </si>
  <si>
    <t>SMTR13</t>
  </si>
  <si>
    <t>SBST13</t>
  </si>
  <si>
    <t>SOVR13</t>
  </si>
  <si>
    <t>STA13</t>
  </si>
  <si>
    <t>STAX13</t>
  </si>
  <si>
    <t>STG7</t>
  </si>
  <si>
    <t>SBSA7</t>
  </si>
  <si>
    <t>SMTR7</t>
  </si>
  <si>
    <t>SBST7</t>
  </si>
  <si>
    <t>SOVR7</t>
  </si>
  <si>
    <t>STA7</t>
  </si>
  <si>
    <t>STAX7</t>
  </si>
  <si>
    <t>STG8</t>
  </si>
  <si>
    <t>SBSA8</t>
  </si>
  <si>
    <t>SMTR8</t>
  </si>
  <si>
    <t>SBST8</t>
  </si>
  <si>
    <t>SOVR8</t>
  </si>
  <si>
    <t>STA8</t>
  </si>
  <si>
    <t>STAX8</t>
  </si>
  <si>
    <t>STG9</t>
  </si>
  <si>
    <t>SBAS9</t>
  </si>
  <si>
    <t>SMTR9</t>
  </si>
  <si>
    <t>SBST9</t>
  </si>
  <si>
    <t>SOVR9</t>
  </si>
  <si>
    <t>STA9</t>
  </si>
  <si>
    <t>STAX9</t>
  </si>
  <si>
    <t>STG10</t>
  </si>
  <si>
    <t>SBAS10</t>
  </si>
  <si>
    <t>SMTR10</t>
  </si>
  <si>
    <t>SBST10</t>
  </si>
  <si>
    <t>SORV10</t>
  </si>
  <si>
    <t>STA10</t>
  </si>
  <si>
    <t>STAX10</t>
  </si>
  <si>
    <t>STG11</t>
  </si>
  <si>
    <t>SBAS11</t>
  </si>
  <si>
    <t>SMTR11</t>
  </si>
  <si>
    <t>SBST11</t>
  </si>
  <si>
    <t>SORV11</t>
  </si>
  <si>
    <t>STA11</t>
  </si>
  <si>
    <t>STAX11</t>
  </si>
  <si>
    <t>STG12</t>
  </si>
  <si>
    <t>SBAS12</t>
  </si>
  <si>
    <t>SMTR12</t>
  </si>
  <si>
    <t>SBST12</t>
  </si>
  <si>
    <t>SORV12</t>
  </si>
  <si>
    <t>STA12</t>
  </si>
  <si>
    <t>STAX12</t>
  </si>
  <si>
    <t>LIE2</t>
  </si>
  <si>
    <t>ADDALLOW2</t>
  </si>
  <si>
    <t>ADDALLOW3</t>
  </si>
  <si>
    <t>LIE3</t>
  </si>
  <si>
    <t>TXCRB2</t>
  </si>
  <si>
    <t>TXCRB3</t>
  </si>
  <si>
    <t>TXCRR3</t>
  </si>
  <si>
    <t>TXCRR2</t>
  </si>
  <si>
    <t>TXCREDIT2</t>
  </si>
  <si>
    <t>TXCREDIT3</t>
  </si>
  <si>
    <t>TXCROV3</t>
  </si>
  <si>
    <t>TXCROV4</t>
  </si>
  <si>
    <t>SDED3</t>
  </si>
  <si>
    <t>SDED2</t>
  </si>
  <si>
    <t>Time Base Hrs</t>
  </si>
  <si>
    <t>Reg + Full Grs</t>
  </si>
  <si>
    <t>serial</t>
  </si>
  <si>
    <t>tax indicator</t>
  </si>
  <si>
    <t>2/3 Grs</t>
  </si>
  <si>
    <t>Org Sal Rate</t>
  </si>
  <si>
    <t>R01</t>
  </si>
  <si>
    <t>SDI CBID</t>
  </si>
  <si>
    <t>R03</t>
  </si>
  <si>
    <t>R04</t>
  </si>
  <si>
    <t>R11</t>
  </si>
  <si>
    <t>R14</t>
  </si>
  <si>
    <t>R15</t>
  </si>
  <si>
    <t>R20</t>
  </si>
  <si>
    <t>R21</t>
  </si>
  <si>
    <t>R17</t>
  </si>
  <si>
    <t>YES</t>
  </si>
  <si>
    <t>R02</t>
  </si>
  <si>
    <t>R05</t>
  </si>
  <si>
    <t>R06</t>
  </si>
  <si>
    <t>R07</t>
  </si>
  <si>
    <t>R08</t>
  </si>
  <si>
    <t>R09</t>
  </si>
  <si>
    <t>R10</t>
  </si>
  <si>
    <t>R12</t>
  </si>
  <si>
    <t>R13</t>
  </si>
  <si>
    <t>R16</t>
  </si>
  <si>
    <t>R18</t>
  </si>
  <si>
    <t>R19</t>
  </si>
  <si>
    <t>(R01-R021, U)</t>
  </si>
  <si>
    <t>Salary Per</t>
  </si>
  <si>
    <t>For positive employees, enter the hourly salary rate.</t>
  </si>
  <si>
    <t>Key a decimal to reflect cents.</t>
  </si>
  <si>
    <t>NOTE: The appropriate Social Security and Medicare amounts will be calculated based on the</t>
  </si>
  <si>
    <t>retirement account code provided.</t>
  </si>
  <si>
    <t>employee. For all other employees, leave this field blank.</t>
  </si>
  <si>
    <t>After entering and verifying the required fields, click the "Calculate IDLS" button.</t>
  </si>
  <si>
    <t>Fed Exemptions</t>
  </si>
  <si>
    <t>Iss Mon and Yr</t>
  </si>
  <si>
    <t>Both</t>
  </si>
  <si>
    <t>Ret Chg</t>
  </si>
  <si>
    <t>Locked-in Pay Not</t>
  </si>
  <si>
    <t>Subj to Retirement</t>
  </si>
  <si>
    <t>Fed Tax Rates Effective Date</t>
  </si>
  <si>
    <t>State Tax Rates Effective Date</t>
  </si>
  <si>
    <t>2 - Apr</t>
  </si>
  <si>
    <t>1 - Dec - Mar</t>
  </si>
  <si>
    <t>Pay Period Days</t>
  </si>
  <si>
    <t>Reg Allowances</t>
  </si>
  <si>
    <t>Semi PP</t>
  </si>
  <si>
    <t>/</t>
  </si>
  <si>
    <t>(MM)</t>
  </si>
  <si>
    <t>(YY)</t>
  </si>
  <si>
    <t>10/01/09</t>
  </si>
  <si>
    <t>12/01/09</t>
  </si>
  <si>
    <t>11/01/09</t>
  </si>
  <si>
    <t>Reduced Sal Rate</t>
  </si>
  <si>
    <r>
      <t>Salary Per:</t>
    </r>
    <r>
      <rPr>
        <sz val="12"/>
        <rFont val="Times New Roman"/>
        <family val="1"/>
      </rPr>
      <t xml:space="preserve"> Enter "M" if salary rate is monthly or "H" if salary rate is hourly.</t>
    </r>
  </si>
  <si>
    <r>
      <t>Collective Bargaining Unit:</t>
    </r>
    <r>
      <rPr>
        <sz val="12"/>
        <rFont val="Times New Roman"/>
        <family val="1"/>
      </rPr>
      <t xml:space="preserve"> Using the employee's personnel information enter the first three digits</t>
    </r>
  </si>
  <si>
    <r>
      <t xml:space="preserve">R02, R15, etc.). </t>
    </r>
    <r>
      <rPr>
        <i/>
        <sz val="12"/>
        <rFont val="Times New Roman"/>
        <family val="1"/>
      </rPr>
      <t>Exception:</t>
    </r>
    <r>
      <rPr>
        <sz val="12"/>
        <rFont val="Times New Roman"/>
        <family val="1"/>
      </rPr>
      <t xml:space="preserve"> For Managers, Supervisors, Excluded and Confidential employee, enter "U".</t>
    </r>
  </si>
  <si>
    <r>
      <t>Pay Frequency:</t>
    </r>
    <r>
      <rPr>
        <sz val="12"/>
        <rFont val="Times New Roman"/>
        <family val="1"/>
      </rPr>
      <t xml:space="preserve"> Enter "M" for monthly or "S" for semimonthly pay frequency.</t>
    </r>
  </si>
  <si>
    <r>
      <t>Apply Exclusion Amt:</t>
    </r>
    <r>
      <rPr>
        <sz val="12"/>
        <rFont val="Times New Roman"/>
        <family val="1"/>
      </rPr>
      <t xml:space="preserve"> An entry in this field is required only when calculating IDL/S for a semimonthly</t>
    </r>
  </si>
  <si>
    <r>
      <t>IDL Full Pay:</t>
    </r>
    <r>
      <rPr>
        <sz val="12"/>
        <rFont val="Times New Roman"/>
        <family val="1"/>
      </rPr>
      <t xml:space="preserve"> Enter the days and/or hours for IDL Full in the pay period.</t>
    </r>
  </si>
  <si>
    <t>except input fields. User either the keyboard "TAB" button or "ARROWS" buttons to move between</t>
  </si>
  <si>
    <t>input fields.</t>
  </si>
  <si>
    <r>
      <t>Pay Period Days:</t>
    </r>
    <r>
      <rPr>
        <sz val="12"/>
        <rFont val="Times New Roman"/>
        <family val="1"/>
      </rPr>
      <t xml:space="preserve"> Enter total number of days in the pay period (21 or 22).</t>
    </r>
  </si>
  <si>
    <t>To reset the input fields, click the "Reset Fields" button.</t>
  </si>
  <si>
    <t>(for Semimonthly only)</t>
  </si>
  <si>
    <t>Neither</t>
  </si>
  <si>
    <t>of the employees' Collective Bargaining Identification designation (not the Pay Scales CBID) - example: R01,</t>
  </si>
  <si>
    <r>
      <t>Total Locked-In Pay NOT Subject to Retirement:</t>
    </r>
    <r>
      <rPr>
        <sz val="12"/>
        <rFont val="Times New Roman"/>
        <family val="1"/>
      </rPr>
      <t xml:space="preserve"> Enter the total locked-in premium amount NOT</t>
    </r>
  </si>
  <si>
    <t>reg+full+23</t>
  </si>
  <si>
    <t>Red SR - D6</t>
  </si>
  <si>
    <t>Ret Reg</t>
  </si>
  <si>
    <t>Org SR-D6</t>
  </si>
  <si>
    <t>EPMC Reg+IDL F</t>
  </si>
  <si>
    <t>SS Reg+IDL F</t>
  </si>
  <si>
    <t>Med Reg+IDL F</t>
  </si>
  <si>
    <t>Fed Reg+IDL F</t>
  </si>
  <si>
    <t>State Reg+IDL F</t>
  </si>
  <si>
    <t>SDI Reg+IDL F</t>
  </si>
  <si>
    <t>Tax Eff 5/4/09</t>
  </si>
  <si>
    <t>Determine Tax Chart</t>
  </si>
  <si>
    <t>Tax Date</t>
  </si>
  <si>
    <t>Issue Date Chart</t>
  </si>
  <si>
    <t>Retirement Gross subject (not reduced)</t>
  </si>
  <si>
    <t>Reg Net Ret</t>
  </si>
  <si>
    <t>IDL Full Net Ret</t>
  </si>
  <si>
    <t>IDL 2/3 Net Ret</t>
  </si>
  <si>
    <t>Reg RetIDL Full Ret</t>
  </si>
  <si>
    <t>Ret Amount</t>
  </si>
  <si>
    <t>(Yes, No, Blank)</t>
  </si>
  <si>
    <t>pay period</t>
  </si>
  <si>
    <t>tax year</t>
  </si>
  <si>
    <t>Pay Frequency (M or S)</t>
  </si>
  <si>
    <t>(M or H)</t>
  </si>
  <si>
    <t>full ret not red sal</t>
  </si>
  <si>
    <t>full ret reduced sal</t>
  </si>
  <si>
    <t>semi reg ret red sal</t>
  </si>
  <si>
    <t>This spreadsheet can be used to calculate the Industrial Disability Leave Supplementation (IDL/S) for</t>
  </si>
  <si>
    <t>For fractional employees, enter the full salary rate.</t>
  </si>
  <si>
    <t>retirement plan in effect for the pay period being calculated.</t>
  </si>
  <si>
    <r>
      <t>Regular Pay:</t>
    </r>
    <r>
      <rPr>
        <sz val="12"/>
        <rFont val="Times New Roman"/>
        <family val="1"/>
      </rPr>
      <t xml:space="preserve"> Enter the days and/or hours for regular pay in the pay period.</t>
    </r>
  </si>
  <si>
    <r>
      <rPr>
        <b/>
        <u val="single"/>
        <sz val="12"/>
        <rFont val="Times New Roman"/>
        <family val="1"/>
      </rPr>
      <t>IDL 2/3 Pay:</t>
    </r>
    <r>
      <rPr>
        <sz val="12"/>
        <rFont val="Times New Roman"/>
        <family val="1"/>
      </rPr>
      <t xml:space="preserve"> Enter the days and/or hours for IDL 2/3's in the pay period.</t>
    </r>
  </si>
  <si>
    <t>rev N7</t>
  </si>
  <si>
    <r>
      <t>Salary Rate:</t>
    </r>
    <r>
      <rPr>
        <sz val="12"/>
        <rFont val="Times New Roman"/>
        <family val="1"/>
      </rPr>
      <t xml:space="preserve"> Enter the Employee's salary rate in effect for the pay period to be paid. The salary rate should</t>
    </r>
  </si>
  <si>
    <t>reflect any locked-in premiums or shift differential pay that can be included in the IDL calculations.</t>
  </si>
  <si>
    <r>
      <t>Reduced Salary Rate:</t>
    </r>
    <r>
      <rPr>
        <sz val="12"/>
        <rFont val="Times New Roman"/>
        <family val="1"/>
      </rPr>
      <t xml:space="preserve"> Enter the salary rate based on the furlough reductions.</t>
    </r>
  </si>
  <si>
    <r>
      <rPr>
        <b/>
        <u val="single"/>
        <sz val="12"/>
        <rFont val="Times New Roman"/>
        <family val="1"/>
      </rPr>
      <t>Time Base Fraction:</t>
    </r>
    <r>
      <rPr>
        <sz val="12"/>
        <rFont val="Times New Roman"/>
        <family val="1"/>
      </rPr>
      <t xml:space="preserve"> Used only for FRACTIONAL time base employees, otherwise leave the</t>
    </r>
  </si>
  <si>
    <t>Time Base field blank. Fractions must be entered with leading zeros - examples 001/002.</t>
  </si>
  <si>
    <t>subject to retirement for the pay period. Leave blank if the employee does not have a locked-in</t>
  </si>
  <si>
    <t>premium pay amount not subject to retirement.</t>
  </si>
  <si>
    <r>
      <t>Retirement Account Code:</t>
    </r>
    <r>
      <rPr>
        <sz val="12"/>
        <rFont val="Times New Roman"/>
        <family val="1"/>
      </rPr>
      <t xml:space="preserve"> Enter the two digits Account Code/Retirement ID for the employee's</t>
    </r>
  </si>
  <si>
    <r>
      <t>Pay Period:</t>
    </r>
    <r>
      <rPr>
        <sz val="12"/>
        <rFont val="Times New Roman"/>
        <family val="1"/>
      </rPr>
      <t xml:space="preserve"> Enter the month and year of the pay period for which pay is being calculated.</t>
    </r>
  </si>
  <si>
    <t>Enter "Y" or "Yes" when the Retirement Exclusion Amount is to be applied.</t>
  </si>
  <si>
    <t>Enter "N" or "No" when the Retirement Exclusion Amount is NOT to be applied.</t>
  </si>
  <si>
    <t>semi 2/3 ret</t>
  </si>
  <si>
    <t>monthly 2/3 ret</t>
  </si>
  <si>
    <t>Civil Service employees paid monthly or semi-monthly for a specific tax year. All fields are LOCKED</t>
  </si>
  <si>
    <t>For negative employees, enter the monthly salary rate. For BU18 employees enter the monthly salary.</t>
  </si>
  <si>
    <r>
      <t>SDI:</t>
    </r>
    <r>
      <rPr>
        <sz val="12"/>
        <rFont val="Times New Roman"/>
        <family val="1"/>
      </rPr>
      <t xml:space="preserve"> When the Collective Bargaining Unit ID is enter, the calculator will automatically enter a</t>
    </r>
  </si>
  <si>
    <t>a "Yes" or "No" in this field.</t>
  </si>
  <si>
    <r>
      <t>Issue Month and Year:</t>
    </r>
    <r>
      <rPr>
        <sz val="12"/>
        <rFont val="Times New Roman"/>
        <family val="1"/>
      </rPr>
      <t xml:space="preserve"> Enter the calendar month/year that corresponds to the Issue Date of the</t>
    </r>
  </si>
  <si>
    <t>payment.</t>
  </si>
  <si>
    <t>Example: For the first half of the 05/2009 pay period, enter 05/09. For the second half of the</t>
  </si>
  <si>
    <t>05/2009 pay period of the monthly pay period with an issue date of 06/01/09, enter 06/09.</t>
  </si>
  <si>
    <t>For semi-monthly first half pay period IDL/S calculations, enter the pay period and year of the</t>
  </si>
  <si>
    <t>Regular Pay payment. For all other IDL/S calculations (second half and monthly pay periods),</t>
  </si>
  <si>
    <t>Ret Sal Rate</t>
  </si>
  <si>
    <t>Reg Sal Rate</t>
  </si>
  <si>
    <t>01/01/09</t>
  </si>
  <si>
    <t>09/01/09</t>
  </si>
  <si>
    <t>02/01/09</t>
  </si>
  <si>
    <t>03/01/09</t>
  </si>
  <si>
    <t>04/01/09</t>
  </si>
  <si>
    <t>05/01/09</t>
  </si>
  <si>
    <t>05/15/09</t>
  </si>
  <si>
    <t>06/01/09</t>
  </si>
  <si>
    <t>07/01/09</t>
  </si>
  <si>
    <t>08/01/09</t>
  </si>
  <si>
    <t>1-2</t>
  </si>
  <si>
    <t>10-12</t>
  </si>
  <si>
    <t>Taxes Effeictive 11/1/09</t>
  </si>
  <si>
    <t>3 - May - Oct</t>
  </si>
  <si>
    <t>4 -Nov - Dec</t>
  </si>
  <si>
    <t>CALIFORNIA STATE CONTROLLER'S OFFICE IDL SUPPLEMENTATION CALCULATOR-2009 (EFF. 11/1/09)</t>
  </si>
  <si>
    <t>txchart cd &lt;4</t>
  </si>
  <si>
    <t>txchart cd =4</t>
  </si>
  <si>
    <t>state table 11/1/09</t>
  </si>
  <si>
    <t>stg4</t>
  </si>
  <si>
    <t>stg5</t>
  </si>
  <si>
    <t>stg6</t>
  </si>
  <si>
    <t>sbas4</t>
  </si>
  <si>
    <t>sbas5</t>
  </si>
  <si>
    <t>sbas6</t>
  </si>
  <si>
    <t>smtr4</t>
  </si>
  <si>
    <t>smtr5</t>
  </si>
  <si>
    <t>smtr6</t>
  </si>
  <si>
    <t>sbst4</t>
  </si>
  <si>
    <t>sbst5</t>
  </si>
  <si>
    <t>sbst6</t>
  </si>
  <si>
    <t>reset fields</t>
  </si>
  <si>
    <t>Effective 11/1/2009</t>
  </si>
  <si>
    <t>Mandatory Withhelding Factor Change 11/01/09</t>
  </si>
  <si>
    <t>semi idl full</t>
  </si>
  <si>
    <t>rev. 3/13 8:53 am</t>
  </si>
  <si>
    <r>
      <t>Total Fed Exemptions:</t>
    </r>
    <r>
      <rPr>
        <sz val="12"/>
        <rFont val="Times New Roman"/>
        <family val="1"/>
      </rPr>
      <t xml:space="preserve"> Enter the total number of federal exemptions based at the day of injury per</t>
    </r>
  </si>
  <si>
    <t>Government Code 19871 for federal tax purposes. If the employee claims exempt from federal taxes,</t>
  </si>
  <si>
    <t>enter "99".</t>
  </si>
  <si>
    <r>
      <t>State Filing Status:</t>
    </r>
    <r>
      <rPr>
        <sz val="12"/>
        <rFont val="Times New Roman"/>
        <family val="1"/>
      </rPr>
      <t xml:space="preserve"> Enter the employee's filing status based at the day of injury per Government</t>
    </r>
  </si>
  <si>
    <t>Code 19871 for state tax purposes.  (NOTE: This calculates only the California state tax). "S" for single;</t>
  </si>
  <si>
    <t xml:space="preserve"> "H" for head of household; "M" for married. </t>
  </si>
  <si>
    <r>
      <t>Reg State Allowance:</t>
    </r>
    <r>
      <rPr>
        <sz val="12"/>
        <rFont val="Times New Roman"/>
        <family val="1"/>
      </rPr>
      <t xml:space="preserve"> Enter the number of regular state allowances (Standard Deductions) based at the </t>
    </r>
  </si>
  <si>
    <t>day of injury per Government Code 19871 for state tax purposes. If the employee claims exempt from</t>
  </si>
  <si>
    <t>state taxes, enter "99".</t>
  </si>
  <si>
    <r>
      <t>Additional Exemptions State:</t>
    </r>
    <r>
      <rPr>
        <sz val="12"/>
        <rFont val="Times New Roman"/>
        <family val="1"/>
      </rPr>
      <t xml:space="preserve"> Enter the number of additional state allowances based at the day of </t>
    </r>
  </si>
  <si>
    <t>enter the next month and year of the Reguar Pay payment's pay period.</t>
  </si>
  <si>
    <t xml:space="preserve">injury per Government Code 19871 for state tax purposes. If the employee claims exempt from </t>
  </si>
  <si>
    <t>state taxes, leave field BLANK.</t>
  </si>
  <si>
    <r>
      <t>Federal Filing Status:</t>
    </r>
    <r>
      <rPr>
        <sz val="12"/>
        <rFont val="Times New Roman"/>
        <family val="1"/>
      </rPr>
      <t xml:space="preserve"> Enter the employee's exemptions based at the day of injury per Government </t>
    </r>
  </si>
  <si>
    <t>Code 19871 for federal tax purposes."S" for single/head of household; "M" for married.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</si>
</sst>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&quot;$&quot;#,##0.000_);[Red]\(&quot;$&quot;#,##0.000\)"/>
    <numFmt numFmtId="176" formatCode="#,##0.000_);\(#,##0.000\)"/>
    <numFmt numFmtId="177" formatCode="#,##0.000\ ;\(#,##0.000\)"/>
    <numFmt numFmtId="178" formatCode="[$-409]dddd\,\ mmmm\ dd\,\ yyyy"/>
    <numFmt numFmtId="179" formatCode="[$-409]hh:mm:ss\ AM/PM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#,##0.0"/>
    <numFmt numFmtId="186" formatCode="000/000"/>
    <numFmt numFmtId="187" formatCode="#,##0.000"/>
    <numFmt numFmtId="188" formatCode="#,##0.0000"/>
    <numFmt numFmtId="189" formatCode="mm/yyyy"/>
    <numFmt numFmtId="190" formatCode="\Te\x\t"/>
    <numFmt numFmtId="191" formatCode="#,##0.00000"/>
    <numFmt numFmtId="192" formatCode="00"/>
    <numFmt numFmtId="193" formatCode="mmm\-yyyy"/>
    <numFmt numFmtId="194" formatCode="#,##0.000000"/>
  </numFmts>
  <fonts count="55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b/>
      <sz val="12"/>
      <color indexed="3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sz val="10"/>
      <color indexed="12"/>
      <name val="Times New Roman"/>
      <family val="1"/>
    </font>
    <font>
      <b/>
      <sz val="10"/>
      <color indexed="39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80008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theme="8" tint="-0.4999699890613556"/>
      </patternFill>
    </fill>
    <fill>
      <patternFill patternType="lightUp">
        <fgColor theme="8" tint="-0.4999699890613556"/>
        <bgColor theme="0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>
        <color indexed="63"/>
      </bottom>
    </border>
    <border>
      <left>
        <color indexed="63"/>
      </left>
      <right style="thick">
        <color rgb="FF003399"/>
      </right>
      <top style="thick">
        <color rgb="FF00339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rgb="FF0033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 style="thick">
        <color rgb="FF003399"/>
      </bottom>
    </border>
    <border>
      <left style="thick">
        <color rgb="FF003399"/>
      </left>
      <right>
        <color indexed="63"/>
      </right>
      <top style="thick">
        <color rgb="FF003399"/>
      </top>
      <bottom style="thick">
        <color rgb="FF003399"/>
      </bottom>
    </border>
    <border>
      <left style="thick">
        <color rgb="FF002060"/>
      </left>
      <right>
        <color indexed="63"/>
      </right>
      <top style="thick">
        <color rgb="FF002060"/>
      </top>
      <bottom style="thick">
        <color rgb="FF002060"/>
      </bottom>
    </border>
    <border>
      <left>
        <color indexed="63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>
        <color indexed="63"/>
      </bottom>
    </border>
    <border>
      <left style="thick">
        <color rgb="FF003399"/>
      </left>
      <right>
        <color indexed="63"/>
      </right>
      <top style="thick">
        <color rgb="FF002060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>
        <color indexed="63"/>
      </bottom>
    </border>
    <border>
      <left style="thick">
        <color rgb="FF003399"/>
      </left>
      <right style="thick">
        <color rgb="FF002060"/>
      </right>
      <top>
        <color indexed="63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 style="thick">
        <color rgb="FF003399"/>
      </bottom>
    </border>
    <border>
      <left>
        <color indexed="63"/>
      </left>
      <right style="thick">
        <color rgb="FF003399"/>
      </right>
      <top style="thick">
        <color rgb="FF003399"/>
      </top>
      <bottom style="thick">
        <color rgb="FF002060"/>
      </bottom>
    </border>
    <border>
      <left style="thick">
        <color rgb="FF003399"/>
      </left>
      <right>
        <color indexed="63"/>
      </right>
      <top style="thick">
        <color rgb="FF003399"/>
      </top>
      <bottom>
        <color indexed="63"/>
      </bottom>
    </border>
    <border>
      <left>
        <color indexed="63"/>
      </left>
      <right style="thick">
        <color rgb="FF002060"/>
      </right>
      <top style="thick">
        <color rgb="FF003399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2060"/>
      </top>
      <bottom style="thick">
        <color rgb="FF002060"/>
      </bottom>
    </border>
    <border>
      <left>
        <color indexed="63"/>
      </left>
      <right style="thick">
        <color rgb="FF002060"/>
      </right>
      <top style="thick">
        <color rgb="FF002060"/>
      </top>
      <bottom style="thick">
        <color rgb="FF002060"/>
      </bottom>
    </border>
    <border>
      <left style="thick">
        <color rgb="FF003399"/>
      </left>
      <right style="thick">
        <color rgb="FF002060"/>
      </right>
      <top style="thick">
        <color rgb="FF003399"/>
      </top>
      <bottom style="thick">
        <color rgb="FF003399"/>
      </bottom>
    </border>
    <border>
      <left style="thick">
        <color rgb="FF003399"/>
      </left>
      <right>
        <color indexed="63"/>
      </right>
      <top>
        <color indexed="63"/>
      </top>
      <bottom style="thick">
        <color rgb="FF003399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42" applyFont="1" applyAlignment="1" applyProtection="1">
      <alignment/>
      <protection/>
    </xf>
    <xf numFmtId="4" fontId="9" fillId="0" borderId="0" xfId="42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8" fontId="9" fillId="0" borderId="0" xfId="43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7" fontId="52" fillId="33" borderId="13" xfId="0" applyNumberFormat="1" applyFont="1" applyFill="1" applyBorder="1" applyAlignment="1" applyProtection="1">
      <alignment horizontal="right"/>
      <protection locked="0"/>
    </xf>
    <xf numFmtId="8" fontId="52" fillId="33" borderId="13" xfId="43" applyFont="1" applyFill="1" applyBorder="1" applyAlignment="1" applyProtection="1">
      <alignment horizontal="right"/>
      <protection locked="0"/>
    </xf>
    <xf numFmtId="8" fontId="52" fillId="34" borderId="0" xfId="43" applyFont="1" applyFill="1" applyBorder="1" applyAlignment="1" applyProtection="1">
      <alignment horizontal="right"/>
      <protection/>
    </xf>
    <xf numFmtId="0" fontId="52" fillId="33" borderId="13" xfId="0" applyFont="1" applyFill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/>
    </xf>
    <xf numFmtId="8" fontId="9" fillId="0" borderId="0" xfId="0" applyNumberFormat="1" applyFont="1" applyAlignment="1" applyProtection="1">
      <alignment/>
      <protection/>
    </xf>
    <xf numFmtId="4" fontId="9" fillId="34" borderId="0" xfId="42" applyFont="1" applyFill="1" applyBorder="1" applyAlignment="1" applyProtection="1">
      <alignment/>
      <protection/>
    </xf>
    <xf numFmtId="0" fontId="53" fillId="35" borderId="0" xfId="0" applyFont="1" applyFill="1" applyAlignment="1" applyProtection="1">
      <alignment/>
      <protection/>
    </xf>
    <xf numFmtId="0" fontId="9" fillId="35" borderId="0" xfId="0" applyFont="1" applyFill="1" applyAlignment="1" applyProtection="1">
      <alignment/>
      <protection/>
    </xf>
    <xf numFmtId="0" fontId="10" fillId="33" borderId="13" xfId="0" applyNumberFormat="1" applyFont="1" applyFill="1" applyBorder="1" applyAlignment="1" applyProtection="1">
      <alignment horizontal="right"/>
      <protection locked="0"/>
    </xf>
    <xf numFmtId="0" fontId="9" fillId="34" borderId="0" xfId="0" applyFont="1" applyFill="1" applyBorder="1" applyAlignment="1" applyProtection="1">
      <alignment horizontal="right"/>
      <protection/>
    </xf>
    <xf numFmtId="8" fontId="9" fillId="0" borderId="0" xfId="43" applyFont="1" applyBorder="1" applyAlignment="1" applyProtection="1">
      <alignment/>
      <protection/>
    </xf>
    <xf numFmtId="8" fontId="9" fillId="0" borderId="14" xfId="43" applyFont="1" applyBorder="1" applyAlignment="1" applyProtection="1">
      <alignment/>
      <protection/>
    </xf>
    <xf numFmtId="0" fontId="10" fillId="33" borderId="15" xfId="0" applyNumberFormat="1" applyFont="1" applyFill="1" applyBorder="1" applyAlignment="1" applyProtection="1">
      <alignment horizontal="right"/>
      <protection locked="0"/>
    </xf>
    <xf numFmtId="0" fontId="52" fillId="33" borderId="15" xfId="0" applyFont="1" applyFill="1" applyBorder="1" applyAlignment="1" applyProtection="1">
      <alignment/>
      <protection locked="0"/>
    </xf>
    <xf numFmtId="0" fontId="52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52" fillId="34" borderId="0" xfId="0" applyFont="1" applyFill="1" applyBorder="1" applyAlignment="1" applyProtection="1">
      <alignment horizontal="right"/>
      <protection/>
    </xf>
    <xf numFmtId="8" fontId="9" fillId="0" borderId="0" xfId="43" applyNumberFormat="1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190" fontId="52" fillId="33" borderId="13" xfId="0" applyNumberFormat="1" applyFont="1" applyFill="1" applyBorder="1" applyAlignment="1" applyProtection="1">
      <alignment horizontal="right"/>
      <protection locked="0"/>
    </xf>
    <xf numFmtId="0" fontId="9" fillId="0" borderId="16" xfId="0" applyFont="1" applyBorder="1" applyAlignment="1" applyProtection="1">
      <alignment/>
      <protection/>
    </xf>
    <xf numFmtId="4" fontId="9" fillId="36" borderId="0" xfId="42" applyFont="1" applyFill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172" fontId="10" fillId="0" borderId="0" xfId="0" applyNumberFormat="1" applyFont="1" applyFill="1" applyBorder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191" fontId="9" fillId="0" borderId="0" xfId="42" applyNumberFormat="1" applyFont="1" applyAlignment="1" applyProtection="1">
      <alignment/>
      <protection/>
    </xf>
    <xf numFmtId="4" fontId="9" fillId="37" borderId="0" xfId="42" applyFont="1" applyFill="1" applyAlignment="1" applyProtection="1">
      <alignment/>
      <protection/>
    </xf>
    <xf numFmtId="0" fontId="10" fillId="33" borderId="15" xfId="0" applyFont="1" applyFill="1" applyBorder="1" applyAlignment="1" applyProtection="1">
      <alignment horizontal="right"/>
      <protection locked="0"/>
    </xf>
    <xf numFmtId="192" fontId="52" fillId="33" borderId="13" xfId="0" applyNumberFormat="1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/>
      <protection/>
    </xf>
    <xf numFmtId="165" fontId="9" fillId="0" borderId="0" xfId="0" applyNumberFormat="1" applyFont="1" applyAlignment="1" applyProtection="1">
      <alignment/>
      <protection/>
    </xf>
    <xf numFmtId="0" fontId="52" fillId="33" borderId="13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14" fontId="54" fillId="0" borderId="0" xfId="0" applyNumberFormat="1" applyFont="1" applyAlignment="1" applyProtection="1">
      <alignment/>
      <protection/>
    </xf>
    <xf numFmtId="0" fontId="54" fillId="0" borderId="0" xfId="0" applyFont="1" applyBorder="1" applyAlignment="1" applyProtection="1">
      <alignment horizontal="right"/>
      <protection/>
    </xf>
    <xf numFmtId="39" fontId="9" fillId="0" borderId="0" xfId="0" applyNumberFormat="1" applyFont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0" fillId="33" borderId="13" xfId="0" applyFont="1" applyFill="1" applyBorder="1" applyAlignment="1" applyProtection="1">
      <alignment horizontal="right"/>
      <protection locked="0"/>
    </xf>
    <xf numFmtId="167" fontId="9" fillId="0" borderId="0" xfId="0" applyNumberFormat="1" applyFont="1" applyAlignment="1" applyProtection="1">
      <alignment/>
      <protection/>
    </xf>
    <xf numFmtId="0" fontId="9" fillId="0" borderId="0" xfId="42" applyNumberFormat="1" applyFont="1" applyBorder="1" applyAlignment="1" applyProtection="1">
      <alignment/>
      <protection/>
    </xf>
    <xf numFmtId="14" fontId="9" fillId="0" borderId="0" xfId="42" applyNumberFormat="1" applyFont="1" applyAlignment="1" applyProtection="1">
      <alignment/>
      <protection/>
    </xf>
    <xf numFmtId="7" fontId="9" fillId="0" borderId="14" xfId="0" applyNumberFormat="1" applyFont="1" applyBorder="1" applyAlignment="1" applyProtection="1">
      <alignment/>
      <protection/>
    </xf>
    <xf numFmtId="8" fontId="9" fillId="34" borderId="0" xfId="43" applyFont="1" applyFill="1" applyBorder="1" applyAlignment="1" applyProtection="1">
      <alignment/>
      <protection/>
    </xf>
    <xf numFmtId="0" fontId="9" fillId="0" borderId="0" xfId="42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7" fontId="9" fillId="0" borderId="0" xfId="0" applyNumberFormat="1" applyFont="1" applyAlignment="1" applyProtection="1">
      <alignment/>
      <protection/>
    </xf>
    <xf numFmtId="0" fontId="9" fillId="38" borderId="0" xfId="0" applyFont="1" applyFill="1" applyAlignment="1" applyProtection="1">
      <alignment horizontal="left"/>
      <protection/>
    </xf>
    <xf numFmtId="167" fontId="9" fillId="38" borderId="0" xfId="0" applyNumberFormat="1" applyFont="1" applyFill="1" applyAlignment="1" applyProtection="1">
      <alignment/>
      <protection/>
    </xf>
    <xf numFmtId="4" fontId="9" fillId="0" borderId="0" xfId="42" applyFont="1" applyBorder="1" applyAlignment="1" applyProtection="1" quotePrefix="1">
      <alignment/>
      <protection/>
    </xf>
    <xf numFmtId="0" fontId="9" fillId="39" borderId="0" xfId="0" applyFont="1" applyFill="1" applyAlignment="1" applyProtection="1">
      <alignment horizontal="left"/>
      <protection/>
    </xf>
    <xf numFmtId="167" fontId="9" fillId="39" borderId="0" xfId="0" applyNumberFormat="1" applyFont="1" applyFill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7" fontId="9" fillId="36" borderId="0" xfId="0" applyNumberFormat="1" applyFont="1" applyFill="1" applyAlignment="1" applyProtection="1">
      <alignment/>
      <protection/>
    </xf>
    <xf numFmtId="188" fontId="9" fillId="36" borderId="0" xfId="42" applyNumberFormat="1" applyFont="1" applyFill="1" applyAlignment="1" applyProtection="1">
      <alignment/>
      <protection/>
    </xf>
    <xf numFmtId="167" fontId="9" fillId="39" borderId="0" xfId="0" applyNumberFormat="1" applyFont="1" applyFill="1" applyAlignment="1" applyProtection="1">
      <alignment horizontal="right"/>
      <protection/>
    </xf>
    <xf numFmtId="174" fontId="9" fillId="0" borderId="0" xfId="0" applyNumberFormat="1" applyFont="1" applyAlignment="1" applyProtection="1">
      <alignment/>
      <protection/>
    </xf>
    <xf numFmtId="0" fontId="52" fillId="33" borderId="17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/>
    </xf>
    <xf numFmtId="0" fontId="9" fillId="0" borderId="14" xfId="0" applyNumberFormat="1" applyFont="1" applyBorder="1" applyAlignment="1" applyProtection="1">
      <alignment/>
      <protection/>
    </xf>
    <xf numFmtId="0" fontId="9" fillId="0" borderId="0" xfId="0" applyNumberFormat="1" applyFont="1" applyAlignment="1" applyProtection="1">
      <alignment horizontal="left"/>
      <protection/>
    </xf>
    <xf numFmtId="0" fontId="9" fillId="37" borderId="0" xfId="42" applyNumberFormat="1" applyFont="1" applyFill="1" applyAlignment="1" applyProtection="1">
      <alignment/>
      <protection/>
    </xf>
    <xf numFmtId="0" fontId="9" fillId="37" borderId="0" xfId="0" applyNumberFormat="1" applyFont="1" applyFill="1" applyAlignment="1" applyProtection="1">
      <alignment/>
      <protection/>
    </xf>
    <xf numFmtId="0" fontId="9" fillId="39" borderId="0" xfId="0" applyNumberFormat="1" applyFont="1" applyFill="1" applyAlignment="1" applyProtection="1">
      <alignment horizontal="left"/>
      <protection/>
    </xf>
    <xf numFmtId="0" fontId="9" fillId="39" borderId="0" xfId="0" applyNumberFormat="1" applyFont="1" applyFill="1" applyAlignment="1" applyProtection="1">
      <alignment horizontal="right"/>
      <protection/>
    </xf>
    <xf numFmtId="0" fontId="9" fillId="0" borderId="0" xfId="42" applyNumberFormat="1" applyFont="1" applyAlignment="1" applyProtection="1">
      <alignment horizontal="left"/>
      <protection/>
    </xf>
    <xf numFmtId="0" fontId="9" fillId="0" borderId="0" xfId="42" applyNumberFormat="1" applyFont="1" applyBorder="1" applyAlignment="1" applyProtection="1">
      <alignment horizontal="left"/>
      <protection/>
    </xf>
    <xf numFmtId="7" fontId="10" fillId="0" borderId="10" xfId="0" applyNumberFormat="1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/>
      <protection/>
    </xf>
    <xf numFmtId="4" fontId="9" fillId="0" borderId="0" xfId="42" applyFont="1" applyAlignment="1" applyProtection="1">
      <alignment horizontal="left"/>
      <protection/>
    </xf>
    <xf numFmtId="4" fontId="9" fillId="0" borderId="0" xfId="42" applyFont="1" applyBorder="1" applyAlignment="1" applyProtection="1">
      <alignment horizontal="left"/>
      <protection/>
    </xf>
    <xf numFmtId="7" fontId="11" fillId="0" borderId="19" xfId="0" applyNumberFormat="1" applyFont="1" applyBorder="1" applyAlignment="1" applyProtection="1">
      <alignment horizontal="center"/>
      <protection/>
    </xf>
    <xf numFmtId="7" fontId="6" fillId="0" borderId="19" xfId="0" applyNumberFormat="1" applyFont="1" applyBorder="1" applyAlignment="1" applyProtection="1">
      <alignment horizontal="center"/>
      <protection/>
    </xf>
    <xf numFmtId="7" fontId="6" fillId="0" borderId="20" xfId="0" applyNumberFormat="1" applyFont="1" applyBorder="1" applyAlignment="1" applyProtection="1">
      <alignment horizontal="center"/>
      <protection/>
    </xf>
    <xf numFmtId="7" fontId="6" fillId="0" borderId="21" xfId="0" applyNumberFormat="1" applyFont="1" applyBorder="1" applyAlignment="1" applyProtection="1">
      <alignment horizontal="center"/>
      <protection/>
    </xf>
    <xf numFmtId="7" fontId="6" fillId="0" borderId="22" xfId="0" applyNumberFormat="1" applyFont="1" applyBorder="1" applyAlignment="1" applyProtection="1">
      <alignment horizontal="center"/>
      <protection/>
    </xf>
    <xf numFmtId="7" fontId="9" fillId="40" borderId="0" xfId="0" applyNumberFormat="1" applyFont="1" applyFill="1" applyBorder="1" applyAlignment="1" applyProtection="1">
      <alignment/>
      <protection/>
    </xf>
    <xf numFmtId="7" fontId="9" fillId="40" borderId="12" xfId="0" applyNumberFormat="1" applyFont="1" applyFill="1" applyBorder="1" applyAlignment="1" applyProtection="1">
      <alignment/>
      <protection/>
    </xf>
    <xf numFmtId="0" fontId="12" fillId="0" borderId="11" xfId="0" applyFont="1" applyBorder="1" applyAlignment="1" applyProtection="1">
      <alignment horizontal="left"/>
      <protection/>
    </xf>
    <xf numFmtId="7" fontId="12" fillId="0" borderId="23" xfId="0" applyNumberFormat="1" applyFont="1" applyFill="1" applyBorder="1" applyAlignment="1" applyProtection="1">
      <alignment/>
      <protection/>
    </xf>
    <xf numFmtId="7" fontId="12" fillId="0" borderId="23" xfId="0" applyNumberFormat="1" applyFont="1" applyBorder="1" applyAlignment="1" applyProtection="1">
      <alignment/>
      <protection/>
    </xf>
    <xf numFmtId="7" fontId="12" fillId="0" borderId="24" xfId="0" applyNumberFormat="1" applyFont="1" applyBorder="1" applyAlignment="1" applyProtection="1">
      <alignment/>
      <protection/>
    </xf>
    <xf numFmtId="7" fontId="12" fillId="0" borderId="0" xfId="0" applyNumberFormat="1" applyFont="1" applyBorder="1" applyAlignment="1" applyProtection="1">
      <alignment/>
      <protection/>
    </xf>
    <xf numFmtId="7" fontId="9" fillId="40" borderId="14" xfId="0" applyNumberFormat="1" applyFont="1" applyFill="1" applyBorder="1" applyAlignment="1" applyProtection="1">
      <alignment/>
      <protection/>
    </xf>
    <xf numFmtId="0" fontId="9" fillId="0" borderId="14" xfId="0" applyFont="1" applyBorder="1" applyAlignment="1" applyProtection="1">
      <alignment horizontal="left"/>
      <protection/>
    </xf>
    <xf numFmtId="7" fontId="9" fillId="0" borderId="25" xfId="0" applyNumberFormat="1" applyFont="1" applyBorder="1" applyAlignment="1" applyProtection="1">
      <alignment/>
      <protection/>
    </xf>
    <xf numFmtId="7" fontId="9" fillId="0" borderId="0" xfId="0" applyNumberFormat="1" applyFont="1" applyBorder="1" applyAlignment="1" applyProtection="1">
      <alignment/>
      <protection/>
    </xf>
    <xf numFmtId="7" fontId="9" fillId="0" borderId="26" xfId="0" applyNumberFormat="1" applyFont="1" applyBorder="1" applyAlignment="1" applyProtection="1">
      <alignment/>
      <protection/>
    </xf>
    <xf numFmtId="7" fontId="9" fillId="40" borderId="25" xfId="0" applyNumberFormat="1" applyFont="1" applyFill="1" applyBorder="1" applyAlignment="1" applyProtection="1">
      <alignment/>
      <protection/>
    </xf>
    <xf numFmtId="7" fontId="9" fillId="0" borderId="27" xfId="0" applyNumberFormat="1" applyFont="1" applyBorder="1" applyAlignment="1" applyProtection="1">
      <alignment/>
      <protection/>
    </xf>
    <xf numFmtId="7" fontId="9" fillId="0" borderId="10" xfId="0" applyNumberFormat="1" applyFont="1" applyBorder="1" applyAlignment="1" applyProtection="1">
      <alignment/>
      <protection/>
    </xf>
    <xf numFmtId="7" fontId="9" fillId="41" borderId="25" xfId="0" applyNumberFormat="1" applyFont="1" applyFill="1" applyBorder="1" applyAlignment="1" applyProtection="1">
      <alignment/>
      <protection/>
    </xf>
    <xf numFmtId="7" fontId="9" fillId="40" borderId="23" xfId="0" applyNumberFormat="1" applyFont="1" applyFill="1" applyBorder="1" applyAlignment="1" applyProtection="1">
      <alignment/>
      <protection/>
    </xf>
    <xf numFmtId="7" fontId="9" fillId="40" borderId="16" xfId="0" applyNumberFormat="1" applyFont="1" applyFill="1" applyBorder="1" applyAlignment="1" applyProtection="1">
      <alignment/>
      <protection/>
    </xf>
    <xf numFmtId="7" fontId="9" fillId="0" borderId="22" xfId="0" applyNumberFormat="1" applyFont="1" applyBorder="1" applyAlignment="1" applyProtection="1">
      <alignment horizontal="center"/>
      <protection/>
    </xf>
    <xf numFmtId="174" fontId="9" fillId="0" borderId="28" xfId="0" applyNumberFormat="1" applyFont="1" applyBorder="1" applyAlignment="1" applyProtection="1">
      <alignment/>
      <protection/>
    </xf>
    <xf numFmtId="7" fontId="9" fillId="0" borderId="22" xfId="0" applyNumberFormat="1" applyFont="1" applyBorder="1" applyAlignment="1" applyProtection="1" quotePrefix="1">
      <alignment horizontal="center"/>
      <protection/>
    </xf>
    <xf numFmtId="7" fontId="9" fillId="0" borderId="11" xfId="0" applyNumberFormat="1" applyFont="1" applyBorder="1" applyAlignment="1" applyProtection="1">
      <alignment/>
      <protection/>
    </xf>
    <xf numFmtId="7" fontId="9" fillId="0" borderId="21" xfId="0" applyNumberFormat="1" applyFont="1" applyBorder="1" applyAlignment="1" applyProtection="1">
      <alignment/>
      <protection/>
    </xf>
    <xf numFmtId="0" fontId="9" fillId="0" borderId="18" xfId="0" applyFont="1" applyBorder="1" applyAlignment="1" applyProtection="1">
      <alignment horizontal="left"/>
      <protection/>
    </xf>
    <xf numFmtId="7" fontId="9" fillId="0" borderId="18" xfId="0" applyNumberFormat="1" applyFont="1" applyBorder="1" applyAlignment="1" applyProtection="1">
      <alignment/>
      <protection/>
    </xf>
    <xf numFmtId="7" fontId="9" fillId="40" borderId="27" xfId="0" applyNumberFormat="1" applyFont="1" applyFill="1" applyBorder="1" applyAlignment="1" applyProtection="1">
      <alignment/>
      <protection/>
    </xf>
    <xf numFmtId="7" fontId="9" fillId="40" borderId="29" xfId="0" applyNumberFormat="1" applyFont="1" applyFill="1" applyBorder="1" applyAlignment="1" applyProtection="1">
      <alignment/>
      <protection/>
    </xf>
    <xf numFmtId="7" fontId="9" fillId="40" borderId="30" xfId="0" applyNumberFormat="1" applyFont="1" applyFill="1" applyBorder="1" applyAlignment="1" applyProtection="1">
      <alignment/>
      <protection/>
    </xf>
    <xf numFmtId="7" fontId="9" fillId="40" borderId="11" xfId="0" applyNumberFormat="1" applyFont="1" applyFill="1" applyBorder="1" applyAlignment="1" applyProtection="1">
      <alignment/>
      <protection/>
    </xf>
    <xf numFmtId="0" fontId="9" fillId="0" borderId="28" xfId="0" applyFont="1" applyBorder="1" applyAlignment="1" applyProtection="1">
      <alignment horizontal="left"/>
      <protection/>
    </xf>
    <xf numFmtId="0" fontId="9" fillId="0" borderId="28" xfId="0" applyFont="1" applyBorder="1" applyAlignment="1" applyProtection="1">
      <alignment/>
      <protection/>
    </xf>
    <xf numFmtId="0" fontId="9" fillId="0" borderId="31" xfId="0" applyFont="1" applyBorder="1" applyAlignment="1" applyProtection="1">
      <alignment/>
      <protection/>
    </xf>
    <xf numFmtId="2" fontId="9" fillId="0" borderId="32" xfId="0" applyNumberFormat="1" applyFont="1" applyBorder="1" applyAlignment="1" applyProtection="1">
      <alignment/>
      <protection/>
    </xf>
    <xf numFmtId="2" fontId="9" fillId="0" borderId="33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right"/>
      <protection/>
    </xf>
    <xf numFmtId="0" fontId="9" fillId="0" borderId="10" xfId="0" applyNumberFormat="1" applyFont="1" applyBorder="1" applyAlignment="1" applyProtection="1">
      <alignment/>
      <protection/>
    </xf>
    <xf numFmtId="7" fontId="9" fillId="0" borderId="34" xfId="0" applyNumberFormat="1" applyFont="1" applyBorder="1" applyAlignment="1" applyProtection="1">
      <alignment horizontal="right"/>
      <protection/>
    </xf>
    <xf numFmtId="2" fontId="9" fillId="0" borderId="20" xfId="0" applyNumberFormat="1" applyFont="1" applyBorder="1" applyAlignment="1" applyProtection="1">
      <alignment/>
      <protection/>
    </xf>
    <xf numFmtId="2" fontId="9" fillId="0" borderId="10" xfId="0" applyNumberFormat="1" applyFont="1" applyBorder="1" applyAlignment="1" applyProtection="1">
      <alignment/>
      <protection/>
    </xf>
    <xf numFmtId="7" fontId="9" fillId="40" borderId="35" xfId="0" applyNumberFormat="1" applyFont="1" applyFill="1" applyBorder="1" applyAlignment="1" applyProtection="1">
      <alignment/>
      <protection/>
    </xf>
    <xf numFmtId="7" fontId="9" fillId="40" borderId="10" xfId="0" applyNumberFormat="1" applyFont="1" applyFill="1" applyBorder="1" applyAlignment="1" applyProtection="1">
      <alignment/>
      <protection/>
    </xf>
    <xf numFmtId="7" fontId="9" fillId="40" borderId="18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39" borderId="0" xfId="0" applyFont="1" applyFill="1" applyAlignment="1" applyProtection="1">
      <alignment/>
      <protection/>
    </xf>
    <xf numFmtId="167" fontId="9" fillId="34" borderId="0" xfId="0" applyNumberFormat="1" applyFont="1" applyFill="1" applyAlignment="1" applyProtection="1">
      <alignment horizontal="right"/>
      <protection/>
    </xf>
    <xf numFmtId="14" fontId="9" fillId="0" borderId="0" xfId="0" applyNumberFormat="1" applyFont="1" applyAlignment="1" applyProtection="1" quotePrefix="1">
      <alignment/>
      <protection/>
    </xf>
    <xf numFmtId="4" fontId="9" fillId="0" borderId="0" xfId="42" applyFont="1" applyAlignment="1" applyProtection="1" quotePrefix="1">
      <alignment/>
      <protection/>
    </xf>
    <xf numFmtId="4" fontId="9" fillId="0" borderId="0" xfId="42" applyNumberFormat="1" applyFont="1" applyAlignment="1" applyProtection="1">
      <alignment/>
      <protection/>
    </xf>
    <xf numFmtId="188" fontId="9" fillId="0" borderId="0" xfId="42" applyNumberFormat="1" applyFont="1" applyAlignment="1" applyProtection="1">
      <alignment/>
      <protection/>
    </xf>
    <xf numFmtId="192" fontId="9" fillId="34" borderId="0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9" fillId="0" borderId="0" xfId="42" applyNumberFormat="1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/>
      <protection/>
    </xf>
    <xf numFmtId="2" fontId="9" fillId="0" borderId="0" xfId="42" applyNumberFormat="1" applyFont="1" applyAlignment="1" applyProtection="1">
      <alignment/>
      <protection/>
    </xf>
    <xf numFmtId="2" fontId="9" fillId="0" borderId="0" xfId="42" applyNumberFormat="1" applyFont="1" applyAlignment="1" applyProtection="1">
      <alignment/>
      <protection/>
    </xf>
    <xf numFmtId="0" fontId="9" fillId="0" borderId="0" xfId="0" applyNumberFormat="1" applyFont="1" applyAlignment="1" applyProtection="1" quotePrefix="1">
      <alignment/>
      <protection/>
    </xf>
    <xf numFmtId="0" fontId="9" fillId="34" borderId="0" xfId="0" applyNumberFormat="1" applyFont="1" applyFill="1" applyAlignment="1" applyProtection="1">
      <alignment/>
      <protection/>
    </xf>
    <xf numFmtId="4" fontId="9" fillId="0" borderId="0" xfId="42" applyNumberFormat="1" applyFont="1" applyAlignment="1" applyProtection="1">
      <alignment/>
      <protection/>
    </xf>
    <xf numFmtId="0" fontId="54" fillId="34" borderId="14" xfId="0" applyFont="1" applyFill="1" applyBorder="1" applyAlignment="1" applyProtection="1">
      <alignment/>
      <protection/>
    </xf>
    <xf numFmtId="4" fontId="9" fillId="0" borderId="0" xfId="0" applyNumberFormat="1" applyFont="1" applyAlignment="1" applyProtection="1">
      <alignment horizontal="left"/>
      <protection/>
    </xf>
    <xf numFmtId="22" fontId="9" fillId="0" borderId="0" xfId="0" applyNumberFormat="1" applyFont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NumberFormat="1" applyFont="1" applyAlignment="1">
      <alignment/>
    </xf>
    <xf numFmtId="0" fontId="54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 horizontal="center"/>
      <protection/>
    </xf>
    <xf numFmtId="0" fontId="9" fillId="0" borderId="0" xfId="0" applyNumberFormat="1" applyFont="1" applyAlignment="1" applyProtection="1">
      <alignment horizontal="center"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186"/>
  <sheetViews>
    <sheetView showGridLines="0" tabSelected="1" workbookViewId="0" topLeftCell="A1">
      <selection activeCell="A1" sqref="A1"/>
    </sheetView>
  </sheetViews>
  <sheetFormatPr defaultColWidth="10.69921875" defaultRowHeight="15"/>
  <cols>
    <col min="1" max="1" width="20" style="7" customWidth="1"/>
    <col min="2" max="2" width="9.69921875" style="7" customWidth="1"/>
    <col min="3" max="3" width="12.8984375" style="7" customWidth="1"/>
    <col min="4" max="4" width="9.69921875" style="7" customWidth="1"/>
    <col min="5" max="5" width="1.1015625" style="7" customWidth="1"/>
    <col min="6" max="6" width="9.69921875" style="7" customWidth="1"/>
    <col min="7" max="7" width="12.796875" style="7" customWidth="1"/>
    <col min="8" max="8" width="13.796875" style="7" customWidth="1"/>
    <col min="9" max="9" width="4.796875" style="7" customWidth="1"/>
    <col min="10" max="10" width="11.296875" style="7" customWidth="1"/>
    <col min="11" max="11" width="11.8984375" style="14" customWidth="1"/>
    <col min="12" max="12" width="3.09765625" style="7" customWidth="1"/>
    <col min="13" max="13" width="14.19921875" style="14" customWidth="1"/>
    <col min="14" max="14" width="11.8984375" style="14" customWidth="1"/>
    <col min="15" max="15" width="3.09765625" style="14" customWidth="1"/>
    <col min="16" max="16" width="11.8984375" style="15" customWidth="1"/>
    <col min="17" max="17" width="11.8984375" style="14" customWidth="1"/>
    <col min="18" max="18" width="10.19921875" style="14" customWidth="1"/>
    <col min="19" max="19" width="10" style="14" customWidth="1"/>
    <col min="20" max="20" width="8.19921875" style="7" customWidth="1"/>
    <col min="21" max="21" width="10.19921875" style="7" customWidth="1"/>
    <col min="22" max="22" width="9.8984375" style="7" customWidth="1"/>
    <col min="23" max="23" width="8.296875" style="7" customWidth="1"/>
    <col min="24" max="24" width="11.8984375" style="7" customWidth="1"/>
    <col min="25" max="25" width="9.8984375" style="7" customWidth="1"/>
    <col min="26" max="26" width="11" style="7" customWidth="1"/>
    <col min="27" max="27" width="4.69921875" style="7" customWidth="1"/>
    <col min="28" max="28" width="11.3984375" style="7" customWidth="1"/>
    <col min="29" max="29" width="9.8984375" style="7" customWidth="1"/>
    <col min="30" max="30" width="11.8984375" style="7" customWidth="1"/>
    <col min="31" max="33" width="10.69921875" style="7" customWidth="1"/>
    <col min="34" max="34" width="11.19921875" style="7" bestFit="1" customWidth="1"/>
    <col min="35" max="35" width="10.69921875" style="7" customWidth="1"/>
    <col min="36" max="36" width="10.796875" style="7" customWidth="1"/>
    <col min="37" max="37" width="10.69921875" style="7" customWidth="1"/>
    <col min="38" max="38" width="11.3984375" style="7" customWidth="1"/>
    <col min="39" max="43" width="10.69921875" style="7" customWidth="1"/>
    <col min="44" max="44" width="11.19921875" style="7" bestFit="1" customWidth="1"/>
    <col min="45" max="45" width="10.69921875" style="7" customWidth="1"/>
    <col min="46" max="46" width="10.296875" style="7" bestFit="1" customWidth="1"/>
    <col min="47" max="47" width="10.69921875" style="7" customWidth="1"/>
    <col min="48" max="48" width="11.3984375" style="7" customWidth="1"/>
    <col min="49" max="52" width="10.69921875" style="7" customWidth="1"/>
    <col min="53" max="53" width="11.3984375" style="7" customWidth="1"/>
    <col min="54" max="54" width="9.8984375" style="7" customWidth="1"/>
    <col min="55" max="55" width="11.8984375" style="7" customWidth="1"/>
    <col min="56" max="16384" width="10.69921875" style="7" customWidth="1"/>
  </cols>
  <sheetData>
    <row r="1" spans="1:54" ht="13.5" thickBot="1">
      <c r="A1" s="1" t="s">
        <v>683</v>
      </c>
      <c r="B1" s="12"/>
      <c r="C1" s="12"/>
      <c r="D1" s="12"/>
      <c r="E1" s="12"/>
      <c r="F1" s="12"/>
      <c r="J1" s="176" t="s">
        <v>321</v>
      </c>
      <c r="K1" s="176"/>
      <c r="L1" s="13"/>
      <c r="M1" s="14" t="s">
        <v>539</v>
      </c>
      <c r="N1" s="14">
        <f>Reg_Net_Grs+IDL_Full</f>
        <v>2909.09</v>
      </c>
      <c r="P1" s="15" t="s">
        <v>543</v>
      </c>
      <c r="Q1" s="14">
        <f>IF(G3="H",Salary_Rate,IF(ISBLANK(Time_Base),Salary_Rate,(Salary_Rate/RIGHT(Time_Base,3))*LEFT(Time_Base,3)))</f>
        <v>4000</v>
      </c>
      <c r="R1" s="14" t="s">
        <v>292</v>
      </c>
      <c r="V1" s="9" t="s">
        <v>0</v>
      </c>
      <c r="W1" s="9" t="s">
        <v>1</v>
      </c>
      <c r="X1" s="9" t="s">
        <v>179</v>
      </c>
      <c r="Y1" s="9" t="s">
        <v>2</v>
      </c>
      <c r="AC1" s="9" t="s">
        <v>3</v>
      </c>
      <c r="AI1" s="9" t="s">
        <v>2</v>
      </c>
      <c r="AM1" s="9" t="s">
        <v>3</v>
      </c>
      <c r="AS1" s="9" t="s">
        <v>2</v>
      </c>
      <c r="AW1" s="9" t="s">
        <v>3</v>
      </c>
      <c r="BB1" s="9" t="s">
        <v>3</v>
      </c>
    </row>
    <row r="2" spans="1:54" ht="27.75" customHeight="1" thickTop="1">
      <c r="A2" s="16" t="s">
        <v>181</v>
      </c>
      <c r="B2" s="11"/>
      <c r="C2" s="11"/>
      <c r="D2" s="11"/>
      <c r="E2" s="11"/>
      <c r="F2" s="11"/>
      <c r="G2" s="17"/>
      <c r="H2" s="18"/>
      <c r="J2" s="7" t="s">
        <v>210</v>
      </c>
      <c r="K2" s="14">
        <f>ROUND(SUM(K3:K5),2)</f>
        <v>4000</v>
      </c>
      <c r="L2" s="19"/>
      <c r="M2" s="14" t="s">
        <v>296</v>
      </c>
      <c r="N2" s="14">
        <f>N24+N7</f>
        <v>2396.090690909091</v>
      </c>
      <c r="P2" s="14" t="s">
        <v>202</v>
      </c>
      <c r="R2" s="14" t="s">
        <v>293</v>
      </c>
      <c r="S2" s="14" t="str">
        <f>VLOOKUP(CAT,RETID_TABLE,4)</f>
        <v>S</v>
      </c>
      <c r="T2" s="9" t="s">
        <v>5</v>
      </c>
      <c r="U2" s="20">
        <f>IF(S2="M",MD_,IF(S2="s",MD_,0))</f>
        <v>0.0145</v>
      </c>
      <c r="V2" s="7">
        <v>0.062</v>
      </c>
      <c r="W2" s="7">
        <v>0.0145</v>
      </c>
      <c r="X2" s="7">
        <v>0.011</v>
      </c>
      <c r="Y2" s="21">
        <v>3650</v>
      </c>
      <c r="AC2" s="9" t="s">
        <v>6</v>
      </c>
      <c r="AI2" s="21">
        <v>3650</v>
      </c>
      <c r="AM2" s="9" t="s">
        <v>6</v>
      </c>
      <c r="AS2" s="21">
        <v>3650</v>
      </c>
      <c r="AW2" s="9" t="s">
        <v>6</v>
      </c>
      <c r="BB2" s="9" t="s">
        <v>6</v>
      </c>
    </row>
    <row r="3" spans="1:54" ht="12.75">
      <c r="A3" s="22" t="s">
        <v>182</v>
      </c>
      <c r="B3" s="23">
        <v>4000</v>
      </c>
      <c r="C3" s="22" t="s">
        <v>594</v>
      </c>
      <c r="D3" s="24"/>
      <c r="E3" s="25"/>
      <c r="F3" s="22" t="s">
        <v>568</v>
      </c>
      <c r="G3" s="26" t="s">
        <v>174</v>
      </c>
      <c r="H3" s="27" t="s">
        <v>633</v>
      </c>
      <c r="J3" s="7" t="s">
        <v>211</v>
      </c>
      <c r="K3" s="161">
        <f>ROUND(IF(AND(Salary_Per="H",Red_Sal_Rate=0),Salary_Rate*K9,IF(AND(Salary_Per="H",Red_Sal_Rate&gt;0),Red_Sal_Rate*K9,IF(Red_Sal_Rate=0,(Org_Sal_Rate/K6)*K9,(((Red_Sal_Rate2/K6)*K9))))),2)</f>
        <v>1818.18</v>
      </c>
      <c r="L3" s="28"/>
      <c r="M3" s="14">
        <f>IF(AND(PayFreq&lt;&gt;"S",OR(Reg_Net_Grs=0,Reg_Net_Grs&lt;S3)),0,IF(PayFreq="S",N33,IF(AND(ISBLANK(Red_Sal_Rate),N28&gt;S3),(N28-S3)*EPMC_P,IF(AND(Red_Sal_Rate&gt;0,Reg_Net_Grs&gt;S3),(N22-S3)*EPMC_P,"X"))))</f>
        <v>65.2590909090909</v>
      </c>
      <c r="N3" s="29" t="s">
        <v>11</v>
      </c>
      <c r="P3" s="14">
        <f>IF(IDL_Full=0,0,ROUND(M12-Reg_SS,2))</f>
        <v>67.63</v>
      </c>
      <c r="Q3" s="14" t="s">
        <v>10</v>
      </c>
      <c r="R3" s="14" t="s">
        <v>294</v>
      </c>
      <c r="S3" s="14">
        <f>VLOOKUP(CAT,RETID_TABLE,2)</f>
        <v>513</v>
      </c>
      <c r="T3" s="9" t="s">
        <v>7</v>
      </c>
      <c r="U3" s="21">
        <f>ROUND(Gross_Net*MED_,2)</f>
        <v>58</v>
      </c>
      <c r="V3" s="7">
        <v>0</v>
      </c>
      <c r="W3" s="7">
        <v>0</v>
      </c>
      <c r="Y3" s="30" t="s">
        <v>324</v>
      </c>
      <c r="Z3" s="31"/>
      <c r="AA3" s="31"/>
      <c r="AB3" s="21"/>
      <c r="AC3" s="21">
        <v>1000</v>
      </c>
      <c r="AI3" s="30" t="s">
        <v>325</v>
      </c>
      <c r="AJ3" s="31"/>
      <c r="AK3" s="31"/>
      <c r="AL3" s="21"/>
      <c r="AM3" s="21">
        <v>1000</v>
      </c>
      <c r="AS3" s="30" t="s">
        <v>327</v>
      </c>
      <c r="AT3" s="31"/>
      <c r="AU3" s="31"/>
      <c r="AV3" s="21"/>
      <c r="AW3" s="21">
        <v>1000</v>
      </c>
      <c r="BA3" s="21"/>
      <c r="BB3" s="21">
        <v>1000</v>
      </c>
    </row>
    <row r="4" spans="1:53" ht="12.75">
      <c r="A4" s="22" t="s">
        <v>168</v>
      </c>
      <c r="B4" s="32" t="s">
        <v>544</v>
      </c>
      <c r="C4" s="10" t="s">
        <v>567</v>
      </c>
      <c r="D4" s="22"/>
      <c r="E4" s="33"/>
      <c r="F4" s="34"/>
      <c r="G4" s="22"/>
      <c r="H4" s="35"/>
      <c r="J4" s="7" t="s">
        <v>202</v>
      </c>
      <c r="K4" s="161">
        <f>ROUND(IF(Salary_Per="H",Salary_Rate*K10,(Org_Sal_Rate/K6)*K10),2)</f>
        <v>1090.91</v>
      </c>
      <c r="L4" s="19"/>
      <c r="M4" s="14">
        <f>ROUND(Reg_Net_Grs*OASDI_,2)</f>
        <v>112.73</v>
      </c>
      <c r="N4" s="14" t="s">
        <v>10</v>
      </c>
      <c r="P4" s="14">
        <f>IF(IDL_Full=0,0,ROUND(M13-Reg_Med,2))</f>
        <v>15.82</v>
      </c>
      <c r="Q4" s="14" t="s">
        <v>297</v>
      </c>
      <c r="R4" s="14" t="s">
        <v>295</v>
      </c>
      <c r="S4" s="14">
        <f>VLOOKUP(CAT,RETID_TABLE,3)</f>
        <v>0.05</v>
      </c>
      <c r="T4" s="9" t="s">
        <v>8</v>
      </c>
      <c r="U4" s="20">
        <f>IF(S2="S",OA_,0)</f>
        <v>0.062</v>
      </c>
      <c r="V4" s="7" t="s">
        <v>4</v>
      </c>
      <c r="W4" s="7" t="s">
        <v>4</v>
      </c>
      <c r="Y4" s="9" t="s">
        <v>9</v>
      </c>
      <c r="AI4" s="9" t="s">
        <v>9</v>
      </c>
      <c r="AS4" s="9" t="s">
        <v>9</v>
      </c>
      <c r="BA4" s="30" t="s">
        <v>680</v>
      </c>
    </row>
    <row r="5" spans="1:53" ht="12.75">
      <c r="A5" s="22" t="s">
        <v>632</v>
      </c>
      <c r="B5" s="36" t="s">
        <v>174</v>
      </c>
      <c r="C5" s="22" t="s">
        <v>585</v>
      </c>
      <c r="D5" s="37">
        <v>22</v>
      </c>
      <c r="E5" s="38"/>
      <c r="F5" s="39" t="s">
        <v>191</v>
      </c>
      <c r="G5" s="40"/>
      <c r="H5" s="165"/>
      <c r="J5" s="7" t="s">
        <v>203</v>
      </c>
      <c r="K5" s="161">
        <f>(ROUND(IF(Salary_Per="H",Salary_Rate*K11,(Org_Sal_Rate/K6)*K11),2))</f>
        <v>1090.91</v>
      </c>
      <c r="L5" s="41"/>
      <c r="M5" s="14">
        <f>ROUND(Reg_Net_Grs*MED_,2)</f>
        <v>26.36</v>
      </c>
      <c r="N5" s="14" t="s">
        <v>7</v>
      </c>
      <c r="P5" s="14">
        <f>IF(IDL_Full=0,0,ROUND(M14-IF(OR(TxChart_code=3,TxChart_code=4),FTAX2,IF(TxChart_code=2,FTAX8,FTAX14)),2))</f>
        <v>141.23</v>
      </c>
      <c r="Q5" s="14" t="s">
        <v>298</v>
      </c>
      <c r="R5" s="14" t="s">
        <v>587</v>
      </c>
      <c r="S5" s="14">
        <f>Semi_PP_Days*Time_Base_Hrs</f>
        <v>0</v>
      </c>
      <c r="T5" s="9" t="s">
        <v>10</v>
      </c>
      <c r="U5" s="21">
        <f>ROUND(Gross_Net*OASDI_,2)</f>
        <v>248</v>
      </c>
      <c r="V5" s="42" t="s">
        <v>11</v>
      </c>
      <c r="W5" s="9"/>
      <c r="X5" s="9" t="s">
        <v>12</v>
      </c>
      <c r="Y5" s="9" t="s">
        <v>13</v>
      </c>
      <c r="Z5" s="9" t="s">
        <v>14</v>
      </c>
      <c r="AB5" s="9" t="s">
        <v>15</v>
      </c>
      <c r="AH5" s="9" t="s">
        <v>12</v>
      </c>
      <c r="AI5" s="9" t="s">
        <v>13</v>
      </c>
      <c r="AJ5" s="9" t="s">
        <v>14</v>
      </c>
      <c r="AL5" s="9" t="s">
        <v>15</v>
      </c>
      <c r="AR5" s="9" t="s">
        <v>12</v>
      </c>
      <c r="AS5" s="9" t="s">
        <v>13</v>
      </c>
      <c r="AT5" s="9" t="s">
        <v>14</v>
      </c>
      <c r="AV5" s="9" t="s">
        <v>15</v>
      </c>
      <c r="BA5" s="9" t="s">
        <v>15</v>
      </c>
    </row>
    <row r="6" spans="1:56" ht="12.75">
      <c r="A6" s="22" t="s">
        <v>184</v>
      </c>
      <c r="B6" s="43"/>
      <c r="C6" s="22" t="s">
        <v>579</v>
      </c>
      <c r="D6" s="24"/>
      <c r="E6" s="10" t="s">
        <v>580</v>
      </c>
      <c r="G6" s="11"/>
      <c r="H6" s="165"/>
      <c r="I6" s="44"/>
      <c r="J6" s="7" t="s">
        <v>212</v>
      </c>
      <c r="K6" s="14">
        <f>IF(ISBLANK(Time_Base),IF(D5=22,176,168),IF(Days_in_Pay_Period=22,(176/RIGHT(Time_Base,3)*LEFT(Time_Base,3)),168/RIGHT(Time_Base,3)*LEFT(Time_Base,3)))</f>
        <v>176</v>
      </c>
      <c r="M6" s="45">
        <f>IF(SDI="yes",Reg_Net_Grs*X2,0)</f>
        <v>19.99998</v>
      </c>
      <c r="N6" s="45" t="s">
        <v>175</v>
      </c>
      <c r="P6" s="14">
        <f>IF(IDL_Full=0,0,ROUND(M15-IF(TxChart_code=4,STAX5,IF(TxChart_code=3,STAX2,IF(TxChart_code=2,STAX8,STAX14))),2))</f>
        <v>23.32</v>
      </c>
      <c r="Q6" s="14" t="s">
        <v>299</v>
      </c>
      <c r="T6" s="9" t="s">
        <v>16</v>
      </c>
      <c r="U6" s="21">
        <f>IF(OR(B8="NONE",B8="TD",B8="TX",B8="TM",B8="TY",B9=2),U7,IF(AND(OR(B8="MIS",B8="IND"),B10="YES"),U8,IF(B8="POY",U8,IF(AND(OR(B8="MIS",B8="IND"),B10&lt;&gt;"YES"),U9,IF(B8="SAF",U9,IF(OR(B8="POF",B8="POZ"),U10,IF(B8="POX",U11,IF(B8="PAT",U11,0))))))))</f>
        <v>0</v>
      </c>
      <c r="V6" s="9" t="s">
        <v>17</v>
      </c>
      <c r="W6" s="9" t="s">
        <v>18</v>
      </c>
      <c r="X6" s="21">
        <v>-999999</v>
      </c>
      <c r="Y6" s="21">
        <v>0</v>
      </c>
      <c r="Z6" s="21">
        <v>0</v>
      </c>
      <c r="AC6" s="9" t="s">
        <v>19</v>
      </c>
      <c r="AE6" s="9" t="s">
        <v>20</v>
      </c>
      <c r="AH6" s="21">
        <v>-999999</v>
      </c>
      <c r="AI6" s="21">
        <v>0</v>
      </c>
      <c r="AJ6" s="21">
        <v>0</v>
      </c>
      <c r="AM6" s="9" t="s">
        <v>19</v>
      </c>
      <c r="AO6" s="9" t="s">
        <v>20</v>
      </c>
      <c r="AR6" s="21">
        <v>-999999</v>
      </c>
      <c r="AS6" s="21">
        <v>0</v>
      </c>
      <c r="AT6" s="21">
        <v>0</v>
      </c>
      <c r="AW6" s="9" t="s">
        <v>19</v>
      </c>
      <c r="AY6" s="9" t="s">
        <v>20</v>
      </c>
      <c r="BB6" s="9" t="s">
        <v>19</v>
      </c>
      <c r="BD6" s="9" t="s">
        <v>20</v>
      </c>
    </row>
    <row r="7" spans="1:56" ht="12.75">
      <c r="A7" s="46" t="s">
        <v>185</v>
      </c>
      <c r="B7" s="47"/>
      <c r="C7" s="10"/>
      <c r="E7" s="48"/>
      <c r="F7" s="11"/>
      <c r="G7" s="11"/>
      <c r="H7" s="27"/>
      <c r="I7" s="44"/>
      <c r="J7" s="7" t="s">
        <v>214</v>
      </c>
      <c r="K7" s="49">
        <f>IF(Salary_Per="H",ROUND(Salary_Rate,5),ROUND(Org_Sal_Rate/K6,5))</f>
        <v>22.72727</v>
      </c>
      <c r="M7" s="50" t="s">
        <v>202</v>
      </c>
      <c r="N7" s="50">
        <f>N22-S3</f>
        <v>1305.1816000000001</v>
      </c>
      <c r="P7" s="15">
        <f>IF(IDL_Full=0,0,ROUND(M16-Reg_SDI,2))</f>
        <v>12</v>
      </c>
      <c r="Q7" s="14" t="s">
        <v>175</v>
      </c>
      <c r="R7" s="14" t="s">
        <v>320</v>
      </c>
      <c r="U7" s="7">
        <v>0</v>
      </c>
      <c r="V7" s="7">
        <v>0</v>
      </c>
      <c r="X7" s="21">
        <v>7180</v>
      </c>
      <c r="Y7" s="21">
        <v>0.1</v>
      </c>
      <c r="Z7" s="21">
        <v>0</v>
      </c>
      <c r="AB7" s="42" t="s">
        <v>23</v>
      </c>
      <c r="AC7" s="42" t="s">
        <v>24</v>
      </c>
      <c r="AD7" s="9" t="s">
        <v>25</v>
      </c>
      <c r="AE7" s="9" t="s">
        <v>26</v>
      </c>
      <c r="AH7" s="21">
        <v>7180</v>
      </c>
      <c r="AI7" s="21">
        <v>0.1</v>
      </c>
      <c r="AJ7" s="21">
        <v>0</v>
      </c>
      <c r="AL7" s="42" t="s">
        <v>23</v>
      </c>
      <c r="AM7" s="42" t="s">
        <v>24</v>
      </c>
      <c r="AN7" s="9" t="s">
        <v>25</v>
      </c>
      <c r="AO7" s="9" t="s">
        <v>26</v>
      </c>
      <c r="AR7" s="21">
        <v>2650</v>
      </c>
      <c r="AS7" s="21">
        <v>0.1</v>
      </c>
      <c r="AT7" s="21">
        <v>0</v>
      </c>
      <c r="AV7" s="42" t="s">
        <v>23</v>
      </c>
      <c r="AW7" s="42" t="s">
        <v>24</v>
      </c>
      <c r="AX7" s="9" t="s">
        <v>25</v>
      </c>
      <c r="AY7" s="9" t="s">
        <v>26</v>
      </c>
      <c r="BA7" s="42" t="s">
        <v>23</v>
      </c>
      <c r="BB7" s="42" t="s">
        <v>24</v>
      </c>
      <c r="BC7" s="9" t="s">
        <v>25</v>
      </c>
      <c r="BD7" s="9" t="s">
        <v>26</v>
      </c>
    </row>
    <row r="8" spans="1:56" ht="12.75">
      <c r="A8" s="42" t="s">
        <v>186</v>
      </c>
      <c r="B8" s="51">
        <v>45</v>
      </c>
      <c r="C8" s="22" t="s">
        <v>187</v>
      </c>
      <c r="D8" s="52">
        <v>6</v>
      </c>
      <c r="E8" s="153" t="s">
        <v>588</v>
      </c>
      <c r="F8" s="52">
        <v>9</v>
      </c>
      <c r="H8" s="53"/>
      <c r="J8" s="7" t="s">
        <v>213</v>
      </c>
      <c r="K8" s="49">
        <f>IF(Salary_Per="H",ROUND(Red_Sal_Rate,5),ROUND(Red_Sal_Rate2/K6,5))</f>
        <v>22.72727</v>
      </c>
      <c r="M8" s="14">
        <f>IF(IDL_Full=0,0,IF(AND(PayFreq="S",Red_Sal_Rate&gt;0,Reg_EPMC=0,Ret_SM_Exl_Apply="Yes",N24&gt;S3),(N24+N7)*EPMC_P,IF(AND(PayFreq="s",OR(Ret_SM_Exl_Apply="N",Ret_SM_Exl_Apply="no")),N24*EPMC_P,IF(ISBLANK(Red_Sal_Rate),N32,IF(Red_Sal_Rate&gt;0,N34,0)))))</f>
        <v>54.54</v>
      </c>
      <c r="N8" s="14" t="s">
        <v>11</v>
      </c>
      <c r="P8" s="14">
        <f>SUM(P3:P7)</f>
        <v>260</v>
      </c>
      <c r="Q8" s="14" t="s">
        <v>300</v>
      </c>
      <c r="R8" s="14" t="s">
        <v>318</v>
      </c>
      <c r="S8" s="15">
        <f>Full_Net-(SUM(C30:F30))</f>
        <v>75.69999999999982</v>
      </c>
      <c r="U8" s="7">
        <v>513</v>
      </c>
      <c r="V8" s="7">
        <v>0.05</v>
      </c>
      <c r="X8" s="21">
        <v>10400</v>
      </c>
      <c r="Y8" s="21">
        <v>0.15</v>
      </c>
      <c r="Z8" s="21">
        <v>322</v>
      </c>
      <c r="AB8" s="54">
        <v>11278</v>
      </c>
      <c r="AC8" s="54">
        <v>11278</v>
      </c>
      <c r="AD8" s="54">
        <v>22556</v>
      </c>
      <c r="AE8" s="54">
        <v>22556</v>
      </c>
      <c r="AH8" s="21">
        <v>10400</v>
      </c>
      <c r="AI8" s="21">
        <v>0.15</v>
      </c>
      <c r="AJ8" s="21">
        <v>322</v>
      </c>
      <c r="AL8" s="54">
        <v>12226</v>
      </c>
      <c r="AM8" s="54">
        <v>12226</v>
      </c>
      <c r="AN8" s="54">
        <v>24452</v>
      </c>
      <c r="AO8" s="54">
        <v>24452</v>
      </c>
      <c r="AR8" s="21">
        <v>10400</v>
      </c>
      <c r="AS8" s="21">
        <v>0.15</v>
      </c>
      <c r="AT8" s="21">
        <v>775</v>
      </c>
      <c r="AV8" s="54">
        <v>12226</v>
      </c>
      <c r="AW8" s="54">
        <v>12226</v>
      </c>
      <c r="AX8" s="54">
        <v>24452</v>
      </c>
      <c r="AY8" s="54">
        <v>24452</v>
      </c>
      <c r="BA8" s="54">
        <v>11278</v>
      </c>
      <c r="BB8" s="54">
        <v>11278</v>
      </c>
      <c r="BC8" s="54">
        <v>22556</v>
      </c>
      <c r="BD8" s="54">
        <v>22556</v>
      </c>
    </row>
    <row r="9" spans="1:46" ht="12.75">
      <c r="A9" s="42" t="s">
        <v>219</v>
      </c>
      <c r="B9" s="55"/>
      <c r="C9" s="10" t="s">
        <v>629</v>
      </c>
      <c r="D9" s="56" t="s">
        <v>589</v>
      </c>
      <c r="E9" s="57"/>
      <c r="F9" s="58" t="s">
        <v>590</v>
      </c>
      <c r="G9" s="57"/>
      <c r="H9" s="27"/>
      <c r="J9" s="7" t="s">
        <v>215</v>
      </c>
      <c r="K9" s="14">
        <f>(Reg_Days*Time_Base_Hrs)+C18</f>
        <v>80</v>
      </c>
      <c r="M9" s="14" t="s">
        <v>203</v>
      </c>
      <c r="N9" s="14">
        <f>N2*EPMC_P</f>
        <v>119.80453454545454</v>
      </c>
      <c r="P9" s="14">
        <f>ROUND(IDL_Full-P8,2)</f>
        <v>830.91</v>
      </c>
      <c r="Q9" s="14" t="s">
        <v>301</v>
      </c>
      <c r="R9" s="14" t="s">
        <v>319</v>
      </c>
      <c r="S9" s="15">
        <f>Supple_Gross_Net/Divided_By</f>
        <v>123.39038304808476</v>
      </c>
      <c r="T9" s="20"/>
      <c r="U9" s="7">
        <v>317</v>
      </c>
      <c r="V9" s="7">
        <v>0.06</v>
      </c>
      <c r="X9" s="21">
        <v>36200</v>
      </c>
      <c r="Y9" s="21">
        <v>0.25</v>
      </c>
      <c r="Z9" s="21">
        <v>4192</v>
      </c>
      <c r="AH9" s="21">
        <v>36200</v>
      </c>
      <c r="AI9" s="21">
        <v>0.25</v>
      </c>
      <c r="AJ9" s="21">
        <v>4192</v>
      </c>
      <c r="AR9" s="21">
        <v>35400</v>
      </c>
      <c r="AS9" s="21">
        <v>0.25</v>
      </c>
      <c r="AT9" s="21">
        <v>4525</v>
      </c>
    </row>
    <row r="10" spans="1:53" ht="12.75">
      <c r="A10" s="42" t="s">
        <v>605</v>
      </c>
      <c r="B10" s="59"/>
      <c r="C10" s="10"/>
      <c r="D10" s="60">
        <f>IF(TxChart_code=1,R14,R15)</f>
        <v>38441</v>
      </c>
      <c r="E10" s="7" t="s">
        <v>581</v>
      </c>
      <c r="H10" s="27"/>
      <c r="J10" s="7" t="s">
        <v>216</v>
      </c>
      <c r="K10" s="14">
        <f>(IDL_Full_Days*Time_Base_Hrs)+C19</f>
        <v>48</v>
      </c>
      <c r="M10" s="14">
        <f>ROUND(IF(Gross_Net&lt;S3,0,IF(AND(PayFreq="S",LEFT(Ret_SM_Exl_Apply,1)="n"),N25*EPMC_P,N37)),2)</f>
        <v>54.55</v>
      </c>
      <c r="N10" s="14" t="s">
        <v>11</v>
      </c>
      <c r="P10" s="14" t="s">
        <v>203</v>
      </c>
      <c r="R10" s="14" t="s">
        <v>196</v>
      </c>
      <c r="S10" s="15">
        <f>ROUND(Grs_Full_Supple/Org_Hr_Rate,0)</f>
        <v>5</v>
      </c>
      <c r="T10" s="21"/>
      <c r="U10" s="7">
        <v>238</v>
      </c>
      <c r="V10" s="7">
        <v>0.08</v>
      </c>
      <c r="X10" s="21">
        <v>66530</v>
      </c>
      <c r="Y10" s="21">
        <v>0.28</v>
      </c>
      <c r="Z10" s="21">
        <v>11774.5</v>
      </c>
      <c r="AB10" s="9" t="s">
        <v>30</v>
      </c>
      <c r="AH10" s="21">
        <v>66530</v>
      </c>
      <c r="AI10" s="21">
        <v>0.28</v>
      </c>
      <c r="AJ10" s="21">
        <v>11774.5</v>
      </c>
      <c r="AL10" s="9" t="s">
        <v>30</v>
      </c>
      <c r="AR10" s="21">
        <v>84300</v>
      </c>
      <c r="AS10" s="21">
        <v>0.28</v>
      </c>
      <c r="AT10" s="21">
        <v>16750</v>
      </c>
      <c r="AV10" s="9" t="s">
        <v>30</v>
      </c>
      <c r="BA10" s="9" t="s">
        <v>30</v>
      </c>
    </row>
    <row r="11" spans="1:56" ht="12.75">
      <c r="A11" s="42" t="s">
        <v>175</v>
      </c>
      <c r="B11" s="61" t="str">
        <f>IF(LEFT(CBID,1)="R",VLOOKUP(CBID,SDI_CBID,2),"NO")</f>
        <v>YES</v>
      </c>
      <c r="C11" s="10"/>
      <c r="D11" s="60">
        <f>IF(OR(TxChart_code=1,TxChart_code=2),R14,IF(TxChart_code=3,R16,R17))</f>
        <v>38475</v>
      </c>
      <c r="E11" s="7" t="s">
        <v>582</v>
      </c>
      <c r="H11" s="27"/>
      <c r="J11" s="7" t="s">
        <v>217</v>
      </c>
      <c r="K11" s="14">
        <f>(IDL_23_Days*Time_Base_Hrs)+C20</f>
        <v>48</v>
      </c>
      <c r="M11" s="14">
        <f>IF(IDL_Full=0,0,Reg_EPMC+M8)</f>
        <v>119.79909090909089</v>
      </c>
      <c r="N11" s="14" t="s">
        <v>613</v>
      </c>
      <c r="P11" s="14">
        <f>ROUND((IDL_2_3/3)*2,2)</f>
        <v>727.27</v>
      </c>
      <c r="Q11" s="14" t="s">
        <v>542</v>
      </c>
      <c r="R11" s="14" t="s">
        <v>195</v>
      </c>
      <c r="S11" s="14">
        <f>IF(Salary_Per="H",0,ROUNDDOWN(S10/Time_Base_Hrs,0))</f>
        <v>0</v>
      </c>
      <c r="T11" s="20"/>
      <c r="U11" s="7">
        <v>863</v>
      </c>
      <c r="V11" s="7">
        <v>0.075</v>
      </c>
      <c r="X11" s="21">
        <v>173600</v>
      </c>
      <c r="Y11" s="62">
        <v>0.33</v>
      </c>
      <c r="Z11" s="21">
        <v>41754.1</v>
      </c>
      <c r="AC11" s="9" t="s">
        <v>19</v>
      </c>
      <c r="AE11" s="9" t="s">
        <v>20</v>
      </c>
      <c r="AH11" s="21">
        <v>173600</v>
      </c>
      <c r="AI11" s="62">
        <v>0.33</v>
      </c>
      <c r="AJ11" s="21">
        <v>41754.1</v>
      </c>
      <c r="AM11" s="9" t="s">
        <v>19</v>
      </c>
      <c r="AO11" s="9" t="s">
        <v>20</v>
      </c>
      <c r="AR11" s="21">
        <v>173600</v>
      </c>
      <c r="AS11" s="62">
        <v>0.33</v>
      </c>
      <c r="AT11" s="21">
        <v>41754</v>
      </c>
      <c r="AW11" s="9" t="s">
        <v>19</v>
      </c>
      <c r="AY11" s="9" t="s">
        <v>20</v>
      </c>
      <c r="BB11" s="9" t="s">
        <v>19</v>
      </c>
      <c r="BD11" s="9" t="s">
        <v>20</v>
      </c>
    </row>
    <row r="12" spans="1:56" ht="12.75">
      <c r="A12" s="1" t="s">
        <v>188</v>
      </c>
      <c r="B12" s="63"/>
      <c r="C12" s="10"/>
      <c r="D12" s="175" t="str">
        <f>IF(S18&lt;38656,"Before","After")</f>
        <v>Before</v>
      </c>
      <c r="E12" s="57" t="s">
        <v>701</v>
      </c>
      <c r="H12" s="27"/>
      <c r="J12" s="7" t="s">
        <v>218</v>
      </c>
      <c r="K12" s="14">
        <f>+K9+K10+K11</f>
        <v>176</v>
      </c>
      <c r="M12" s="14">
        <f>IF(IDL_Full=0,0,ROUND((Reg_Net_Grs+IDL_Full)*OASDI_,2))</f>
        <v>180.36</v>
      </c>
      <c r="N12" s="14" t="s">
        <v>614</v>
      </c>
      <c r="P12" s="15" t="s">
        <v>620</v>
      </c>
      <c r="R12" s="14" t="s">
        <v>196</v>
      </c>
      <c r="S12" s="14">
        <f>IF(Salary_Per="H",S10,S10-(S11*Time_Base_Hrs))</f>
        <v>5</v>
      </c>
      <c r="T12" s="20"/>
      <c r="X12" s="21">
        <v>375000</v>
      </c>
      <c r="Y12" s="62">
        <v>0.35</v>
      </c>
      <c r="Z12" s="21">
        <v>108216.1</v>
      </c>
      <c r="AB12" s="42" t="s">
        <v>23</v>
      </c>
      <c r="AC12" s="42" t="s">
        <v>24</v>
      </c>
      <c r="AD12" s="9" t="s">
        <v>25</v>
      </c>
      <c r="AE12" s="9" t="s">
        <v>26</v>
      </c>
      <c r="AH12" s="21">
        <v>375000</v>
      </c>
      <c r="AI12" s="62">
        <v>0.35</v>
      </c>
      <c r="AJ12" s="21">
        <v>108216.1</v>
      </c>
      <c r="AL12" s="42" t="s">
        <v>23</v>
      </c>
      <c r="AM12" s="42" t="s">
        <v>24</v>
      </c>
      <c r="AN12" s="9" t="s">
        <v>25</v>
      </c>
      <c r="AO12" s="9" t="s">
        <v>26</v>
      </c>
      <c r="AR12" s="21">
        <v>375000</v>
      </c>
      <c r="AS12" s="62">
        <v>0.35</v>
      </c>
      <c r="AT12" s="21">
        <v>108216</v>
      </c>
      <c r="AV12" s="42" t="s">
        <v>23</v>
      </c>
      <c r="AW12" s="42" t="s">
        <v>24</v>
      </c>
      <c r="AX12" s="9" t="s">
        <v>25</v>
      </c>
      <c r="AY12" s="9" t="s">
        <v>26</v>
      </c>
      <c r="BA12" s="42" t="s">
        <v>23</v>
      </c>
      <c r="BB12" s="42" t="s">
        <v>24</v>
      </c>
      <c r="BC12" s="9" t="s">
        <v>25</v>
      </c>
      <c r="BD12" s="9" t="s">
        <v>26</v>
      </c>
    </row>
    <row r="13" spans="1:56" ht="12.75">
      <c r="A13" s="42" t="s">
        <v>189</v>
      </c>
      <c r="B13" s="64" t="s">
        <v>174</v>
      </c>
      <c r="C13" s="22" t="s">
        <v>575</v>
      </c>
      <c r="D13" s="64">
        <v>0</v>
      </c>
      <c r="E13" s="10" t="s">
        <v>190</v>
      </c>
      <c r="H13" s="27"/>
      <c r="J13" s="9" t="s">
        <v>22</v>
      </c>
      <c r="K13" s="14">
        <f>+S4</f>
        <v>0.05</v>
      </c>
      <c r="L13" s="65"/>
      <c r="M13" s="14">
        <f>IF(IDL_Full=0,0,ROUND((Reg_Net_Grs+IDL_Full)*MED_,2))</f>
        <v>42.18</v>
      </c>
      <c r="N13" s="14" t="s">
        <v>615</v>
      </c>
      <c r="P13" s="66">
        <f>S18</f>
        <v>38533</v>
      </c>
      <c r="Q13" s="14" t="s">
        <v>540</v>
      </c>
      <c r="R13" s="67">
        <f>+P13</f>
        <v>38533</v>
      </c>
      <c r="S13" s="14" t="s">
        <v>621</v>
      </c>
      <c r="T13" s="20"/>
      <c r="U13" s="7" t="s">
        <v>34</v>
      </c>
      <c r="X13" s="21">
        <v>999999.99</v>
      </c>
      <c r="Y13" s="21">
        <v>0.31</v>
      </c>
      <c r="Z13" s="21">
        <v>99999.99</v>
      </c>
      <c r="AB13" s="54">
        <v>3692</v>
      </c>
      <c r="AC13" s="54">
        <v>3692</v>
      </c>
      <c r="AD13" s="54">
        <v>7384</v>
      </c>
      <c r="AE13" s="54">
        <v>7384</v>
      </c>
      <c r="AH13" s="21">
        <v>999999.99</v>
      </c>
      <c r="AI13" s="21">
        <v>0.31</v>
      </c>
      <c r="AJ13" s="21">
        <v>99999.99</v>
      </c>
      <c r="AL13" s="54">
        <v>3692</v>
      </c>
      <c r="AM13" s="54">
        <v>3692</v>
      </c>
      <c r="AN13" s="54">
        <v>7384</v>
      </c>
      <c r="AO13" s="54">
        <v>7384</v>
      </c>
      <c r="AR13" s="21">
        <v>999999.99</v>
      </c>
      <c r="AS13" s="21">
        <v>0.31</v>
      </c>
      <c r="AT13" s="21">
        <v>99999.99</v>
      </c>
      <c r="AV13" s="54">
        <v>3692</v>
      </c>
      <c r="AW13" s="54">
        <v>3692</v>
      </c>
      <c r="AX13" s="54">
        <v>7384</v>
      </c>
      <c r="AY13" s="54">
        <v>7384</v>
      </c>
      <c r="BA13" s="54">
        <v>3692</v>
      </c>
      <c r="BB13" s="54">
        <v>3692</v>
      </c>
      <c r="BC13" s="54">
        <v>7384</v>
      </c>
      <c r="BD13" s="54">
        <v>7384</v>
      </c>
    </row>
    <row r="14" spans="1:22" ht="12.75">
      <c r="A14" s="42" t="s">
        <v>27</v>
      </c>
      <c r="B14" s="51" t="s">
        <v>174</v>
      </c>
      <c r="C14" s="22" t="s">
        <v>586</v>
      </c>
      <c r="D14" s="64">
        <v>0</v>
      </c>
      <c r="E14" s="10" t="s">
        <v>192</v>
      </c>
      <c r="G14" s="9"/>
      <c r="H14" s="68" t="s">
        <v>4</v>
      </c>
      <c r="J14" s="9" t="s">
        <v>11</v>
      </c>
      <c r="K14" s="29">
        <f>ROUND(Reg_EPMC+M8+M10,2)</f>
        <v>174.35</v>
      </c>
      <c r="L14" s="69"/>
      <c r="M14" s="14">
        <f>IF(IDL_Full=0,0,IF(OR(TxChart_code=3,TxChart_code=4),FTAX3,IF(TxChart_code=2,FTAX9,FTAX15)))</f>
        <v>185.27</v>
      </c>
      <c r="N14" s="14" t="s">
        <v>616</v>
      </c>
      <c r="P14" s="66">
        <f>IF(S18&lt;38442,1,IF(S18&lt;38475,2,IF(S18&lt;38655,3,4)))</f>
        <v>3</v>
      </c>
      <c r="Q14" s="14" t="s">
        <v>541</v>
      </c>
      <c r="R14" s="67">
        <v>38352</v>
      </c>
      <c r="S14" s="70">
        <v>38352</v>
      </c>
      <c r="T14" s="20" t="s">
        <v>577</v>
      </c>
      <c r="U14" s="7" t="s">
        <v>36</v>
      </c>
      <c r="V14" s="7">
        <f>IF(OR(B8="L",B8="T",B8="J"),V10,0)</f>
        <v>0</v>
      </c>
    </row>
    <row r="15" spans="1:57" ht="12.75">
      <c r="A15" s="42" t="s">
        <v>193</v>
      </c>
      <c r="B15" s="55"/>
      <c r="C15" s="71" t="s">
        <v>576</v>
      </c>
      <c r="D15" s="52">
        <v>7</v>
      </c>
      <c r="E15" s="153"/>
      <c r="F15" s="52">
        <v>9</v>
      </c>
      <c r="G15" s="9" t="s">
        <v>21</v>
      </c>
      <c r="H15" s="68"/>
      <c r="J15" s="9" t="s">
        <v>28</v>
      </c>
      <c r="K15" s="14">
        <f>ROUND(Salary_Rate+Reg_Days-IDL_Full_Days,2)</f>
        <v>4004</v>
      </c>
      <c r="L15" s="72"/>
      <c r="M15" s="14">
        <f>IF(IDL_Full=0,0,IF(TxChart_code=4,STAX6,IF(TxChart_code=3,STAX3,IF(TxChart_code=2,STAX9,STAX15))))</f>
        <v>43.89</v>
      </c>
      <c r="N15" s="14" t="s">
        <v>617</v>
      </c>
      <c r="O15" s="29"/>
      <c r="P15" s="29" t="s">
        <v>584</v>
      </c>
      <c r="Q15" s="29" t="s">
        <v>682</v>
      </c>
      <c r="R15" s="67">
        <v>38441</v>
      </c>
      <c r="S15" s="70">
        <v>38441</v>
      </c>
      <c r="T15" s="20" t="s">
        <v>298</v>
      </c>
      <c r="U15" s="73" t="s">
        <v>173</v>
      </c>
      <c r="V15" s="74">
        <f>IF(AND(OR(B4=1,B4=2,B4=3,B4=4,B4=11,B4=15),B8="SAF"),0,0)</f>
        <v>0</v>
      </c>
      <c r="X15" s="9" t="s">
        <v>4</v>
      </c>
      <c r="Y15" s="9" t="s">
        <v>38</v>
      </c>
      <c r="AB15" s="9" t="s">
        <v>39</v>
      </c>
      <c r="AH15" s="9" t="s">
        <v>4</v>
      </c>
      <c r="AI15" s="9" t="s">
        <v>38</v>
      </c>
      <c r="AL15" s="9" t="s">
        <v>39</v>
      </c>
      <c r="AR15" s="9" t="s">
        <v>4</v>
      </c>
      <c r="AS15" s="9" t="s">
        <v>38</v>
      </c>
      <c r="AV15" s="9" t="s">
        <v>39</v>
      </c>
      <c r="BA15" s="168" t="s">
        <v>39</v>
      </c>
      <c r="BB15" s="169"/>
      <c r="BC15" s="169"/>
      <c r="BD15" s="169"/>
      <c r="BE15" s="169"/>
    </row>
    <row r="16" spans="1:57" ht="12.75">
      <c r="A16" s="9"/>
      <c r="B16" s="11"/>
      <c r="C16" s="10"/>
      <c r="D16" s="56" t="s">
        <v>589</v>
      </c>
      <c r="E16" s="57"/>
      <c r="F16" s="58" t="s">
        <v>590</v>
      </c>
      <c r="G16" s="9"/>
      <c r="H16" s="68"/>
      <c r="J16" s="9" t="s">
        <v>29</v>
      </c>
      <c r="K16" s="14">
        <f>ROUND(Salary_Rate+Reg_Days-IDL_Full_Days,2)</f>
        <v>4004</v>
      </c>
      <c r="L16" s="72"/>
      <c r="M16" s="14">
        <f>IF(OR(IDL_Full=0,SDI="NO"),0,(ROUND((Reg_Net_Grs+IDL_Full)*X2,2)))</f>
        <v>32</v>
      </c>
      <c r="N16" s="14" t="s">
        <v>618</v>
      </c>
      <c r="P16" s="75" t="s">
        <v>583</v>
      </c>
      <c r="R16" s="67">
        <v>38475</v>
      </c>
      <c r="S16" s="70">
        <v>38475</v>
      </c>
      <c r="T16" s="20" t="s">
        <v>299</v>
      </c>
      <c r="U16" s="76" t="s">
        <v>169</v>
      </c>
      <c r="V16" s="77">
        <f>VLOOKUP(B4,U17:V40,2)</f>
        <v>0</v>
      </c>
      <c r="X16" s="9" t="s">
        <v>12</v>
      </c>
      <c r="Y16" s="9" t="s">
        <v>13</v>
      </c>
      <c r="Z16" s="9" t="s">
        <v>14</v>
      </c>
      <c r="AB16" s="9" t="s">
        <v>12</v>
      </c>
      <c r="AC16" s="9" t="s">
        <v>13</v>
      </c>
      <c r="AD16" s="9" t="s">
        <v>14</v>
      </c>
      <c r="AH16" s="9" t="s">
        <v>12</v>
      </c>
      <c r="AI16" s="9" t="s">
        <v>13</v>
      </c>
      <c r="AJ16" s="9" t="s">
        <v>14</v>
      </c>
      <c r="AL16" s="9" t="s">
        <v>12</v>
      </c>
      <c r="AM16" s="9" t="s">
        <v>13</v>
      </c>
      <c r="AN16" s="9" t="s">
        <v>14</v>
      </c>
      <c r="AR16" s="9" t="s">
        <v>12</v>
      </c>
      <c r="AS16" s="9" t="s">
        <v>13</v>
      </c>
      <c r="AT16" s="9" t="s">
        <v>14</v>
      </c>
      <c r="AV16" s="9" t="s">
        <v>12</v>
      </c>
      <c r="AW16" s="9" t="s">
        <v>13</v>
      </c>
      <c r="AX16" s="9" t="s">
        <v>14</v>
      </c>
      <c r="BA16" s="168" t="s">
        <v>12</v>
      </c>
      <c r="BB16" s="168" t="s">
        <v>13</v>
      </c>
      <c r="BC16" s="168" t="s">
        <v>14</v>
      </c>
      <c r="BD16" s="169"/>
      <c r="BE16" s="169"/>
    </row>
    <row r="17" spans="1:57" ht="12.75">
      <c r="A17" s="78" t="s">
        <v>194</v>
      </c>
      <c r="B17" s="79" t="s">
        <v>195</v>
      </c>
      <c r="C17" s="46" t="s">
        <v>196</v>
      </c>
      <c r="F17" s="42"/>
      <c r="G17" s="9"/>
      <c r="H17" s="68"/>
      <c r="J17" s="9" t="s">
        <v>176</v>
      </c>
      <c r="K17" s="45">
        <f>IF(SDI="Yes",SDIGRS*X2,0)</f>
        <v>44</v>
      </c>
      <c r="L17" s="80"/>
      <c r="M17" s="45" t="s">
        <v>538</v>
      </c>
      <c r="N17" s="81">
        <f>IF(ISBLANK(Time_Base),8,8/RIGHT(B6,3)*LEFT(B6,3))</f>
        <v>8</v>
      </c>
      <c r="O17" s="45"/>
      <c r="P17" s="29" t="s">
        <v>681</v>
      </c>
      <c r="Q17" s="45"/>
      <c r="R17" s="67">
        <v>38656</v>
      </c>
      <c r="S17" s="70">
        <v>38656</v>
      </c>
      <c r="T17" s="20" t="s">
        <v>578</v>
      </c>
      <c r="U17" s="76">
        <v>1</v>
      </c>
      <c r="V17" s="82">
        <v>0</v>
      </c>
      <c r="X17" s="21">
        <v>-999999</v>
      </c>
      <c r="Y17" s="21">
        <v>0</v>
      </c>
      <c r="Z17" s="21">
        <v>0</v>
      </c>
      <c r="AB17" s="54">
        <v>0</v>
      </c>
      <c r="AC17" s="83">
        <v>0.0125</v>
      </c>
      <c r="AD17" s="14">
        <v>0</v>
      </c>
      <c r="AH17" s="21">
        <v>-999999</v>
      </c>
      <c r="AI17" s="21">
        <v>0</v>
      </c>
      <c r="AJ17" s="21">
        <v>0</v>
      </c>
      <c r="AL17" s="54">
        <v>0</v>
      </c>
      <c r="AM17" s="83">
        <v>0.01</v>
      </c>
      <c r="AN17" s="14">
        <v>0</v>
      </c>
      <c r="AR17" s="21">
        <v>-999999</v>
      </c>
      <c r="AS17" s="21">
        <v>0</v>
      </c>
      <c r="AT17" s="21">
        <v>0</v>
      </c>
      <c r="AV17" s="54">
        <v>0</v>
      </c>
      <c r="AW17" s="83">
        <v>0.01</v>
      </c>
      <c r="AX17" s="14">
        <v>0</v>
      </c>
      <c r="BA17" s="170">
        <v>0</v>
      </c>
      <c r="BB17" s="171">
        <v>0.01375</v>
      </c>
      <c r="BC17" s="172">
        <v>0</v>
      </c>
      <c r="BD17" s="169"/>
      <c r="BE17" s="169"/>
    </row>
    <row r="18" spans="1:81" ht="12.75">
      <c r="A18" s="42" t="s">
        <v>197</v>
      </c>
      <c r="B18" s="84">
        <v>10</v>
      </c>
      <c r="C18" s="55"/>
      <c r="D18" s="85"/>
      <c r="E18" s="85"/>
      <c r="F18" s="85"/>
      <c r="G18" s="85"/>
      <c r="H18" s="86"/>
      <c r="I18" s="85"/>
      <c r="J18" s="87" t="s">
        <v>177</v>
      </c>
      <c r="K18" s="88">
        <f>Gross_Net</f>
        <v>4000</v>
      </c>
      <c r="L18" s="89"/>
      <c r="M18" s="70" t="s">
        <v>609</v>
      </c>
      <c r="N18" s="85">
        <f>Reg_Net_Grs+IDL_Full+IDL_2_3</f>
        <v>4000</v>
      </c>
      <c r="O18" s="70"/>
      <c r="P18" s="66" t="s">
        <v>622</v>
      </c>
      <c r="Q18" s="70"/>
      <c r="R18" s="70" t="str">
        <f>IF(LEN(Iss_Mon_Yr)=2,R22,R21)</f>
        <v>07/01/09</v>
      </c>
      <c r="S18" s="70">
        <f>VLOOKUP(R18,Iss_Date,2)</f>
        <v>38533</v>
      </c>
      <c r="T18" s="85"/>
      <c r="U18" s="90">
        <v>2</v>
      </c>
      <c r="V18" s="91">
        <v>0.01</v>
      </c>
      <c r="W18" s="85"/>
      <c r="X18" s="85">
        <v>15750</v>
      </c>
      <c r="Y18" s="85">
        <v>0.1</v>
      </c>
      <c r="Z18" s="85">
        <v>0</v>
      </c>
      <c r="AA18" s="85"/>
      <c r="AB18" s="85">
        <v>7168</v>
      </c>
      <c r="AC18" s="85">
        <v>0.0225</v>
      </c>
      <c r="AD18" s="70">
        <v>89.6</v>
      </c>
      <c r="AE18" s="85"/>
      <c r="AF18" s="85"/>
      <c r="AG18" s="85"/>
      <c r="AH18" s="85">
        <v>15750</v>
      </c>
      <c r="AI18" s="85">
        <v>0.1</v>
      </c>
      <c r="AJ18" s="85">
        <v>0</v>
      </c>
      <c r="AK18" s="85"/>
      <c r="AL18" s="85">
        <v>7168</v>
      </c>
      <c r="AM18" s="85">
        <v>0.02</v>
      </c>
      <c r="AN18" s="70">
        <v>71.68</v>
      </c>
      <c r="AO18" s="85"/>
      <c r="AP18" s="85"/>
      <c r="AQ18" s="85"/>
      <c r="AR18" s="85">
        <v>8000</v>
      </c>
      <c r="AS18" s="85">
        <v>0.1</v>
      </c>
      <c r="AT18" s="85">
        <v>0</v>
      </c>
      <c r="AU18" s="85"/>
      <c r="AV18" s="85">
        <v>7168</v>
      </c>
      <c r="AW18" s="85">
        <v>0.02</v>
      </c>
      <c r="AX18" s="70">
        <v>71.68</v>
      </c>
      <c r="AY18" s="85"/>
      <c r="AZ18" s="85"/>
      <c r="BA18" s="174">
        <v>7168</v>
      </c>
      <c r="BB18" s="174">
        <v>0.02475</v>
      </c>
      <c r="BC18" s="174">
        <v>98.56</v>
      </c>
      <c r="BD18" s="174"/>
      <c r="BE18" s="174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</row>
    <row r="19" spans="1:81" ht="12.75">
      <c r="A19" s="42" t="s">
        <v>198</v>
      </c>
      <c r="B19" s="84">
        <v>6</v>
      </c>
      <c r="C19" s="55"/>
      <c r="D19" s="85"/>
      <c r="E19" s="85"/>
      <c r="F19" s="85"/>
      <c r="G19" s="85"/>
      <c r="H19" s="86"/>
      <c r="I19" s="85"/>
      <c r="J19" s="87"/>
      <c r="K19" s="88"/>
      <c r="L19" s="89"/>
      <c r="M19" s="70"/>
      <c r="N19" s="85">
        <f>ROUND((N18-S3)*EPMC_P,2)</f>
        <v>174.35</v>
      </c>
      <c r="O19" s="88"/>
      <c r="P19" s="162" t="s">
        <v>668</v>
      </c>
      <c r="Q19" s="163">
        <v>38352</v>
      </c>
      <c r="R19" s="70" t="str">
        <f>Pay_Period&amp;"/01/"&amp;F8</f>
        <v>6/01/9</v>
      </c>
      <c r="S19" s="70" t="s">
        <v>630</v>
      </c>
      <c r="T19" s="85"/>
      <c r="U19" s="90">
        <v>3</v>
      </c>
      <c r="V19" s="91">
        <v>0</v>
      </c>
      <c r="W19" s="85"/>
      <c r="X19" s="85">
        <v>24450</v>
      </c>
      <c r="Y19" s="85">
        <v>0.15</v>
      </c>
      <c r="Z19" s="85">
        <v>870</v>
      </c>
      <c r="AA19" s="85"/>
      <c r="AB19" s="85">
        <v>16994</v>
      </c>
      <c r="AC19" s="85">
        <v>0.0425</v>
      </c>
      <c r="AD19" s="70">
        <v>310.69</v>
      </c>
      <c r="AE19" s="85"/>
      <c r="AF19" s="85"/>
      <c r="AG19" s="85"/>
      <c r="AH19" s="85">
        <v>24450</v>
      </c>
      <c r="AI19" s="85">
        <v>0.15</v>
      </c>
      <c r="AJ19" s="85">
        <v>870</v>
      </c>
      <c r="AK19" s="85"/>
      <c r="AL19" s="85">
        <v>16994</v>
      </c>
      <c r="AM19" s="85">
        <v>0.04</v>
      </c>
      <c r="AN19" s="70">
        <v>268.2</v>
      </c>
      <c r="AO19" s="85"/>
      <c r="AP19" s="85"/>
      <c r="AQ19" s="85"/>
      <c r="AR19" s="85">
        <v>23950</v>
      </c>
      <c r="AS19" s="85">
        <v>0.15</v>
      </c>
      <c r="AT19" s="85">
        <v>1595</v>
      </c>
      <c r="AU19" s="85"/>
      <c r="AV19" s="85">
        <v>16994</v>
      </c>
      <c r="AW19" s="85">
        <v>0.04</v>
      </c>
      <c r="AX19" s="70">
        <v>268.2</v>
      </c>
      <c r="AY19" s="85"/>
      <c r="AZ19" s="85"/>
      <c r="BA19" s="174">
        <v>16994</v>
      </c>
      <c r="BB19" s="174">
        <v>0.04675</v>
      </c>
      <c r="BC19" s="174">
        <v>341.75</v>
      </c>
      <c r="BD19" s="174"/>
      <c r="BE19" s="174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</row>
    <row r="20" spans="1:81" ht="12.75">
      <c r="A20" s="42" t="s">
        <v>199</v>
      </c>
      <c r="B20" s="84">
        <v>6</v>
      </c>
      <c r="C20" s="55"/>
      <c r="D20" s="85"/>
      <c r="E20" s="85"/>
      <c r="F20" s="85"/>
      <c r="G20" s="85"/>
      <c r="H20" s="86"/>
      <c r="I20" s="85"/>
      <c r="J20" s="87"/>
      <c r="K20" s="88"/>
      <c r="L20" s="89"/>
      <c r="M20" s="66" t="s">
        <v>667</v>
      </c>
      <c r="N20" s="70">
        <f>IF(AND(G3="h",ISBLANK(Red_Sal_Rate)),Salary_Rate,IF(ISBLANK(Red_Sal_Rate),Org_Sal_Rate,IF(ISBLANK(Time_Base),Red_Sal_Rate,ROUND(Red_Sal_Rate/RIGHT(Time_Base,3)*LEFT(Time_Base,3),2))))</f>
        <v>4000</v>
      </c>
      <c r="O20" s="88"/>
      <c r="P20" s="162" t="s">
        <v>670</v>
      </c>
      <c r="Q20" s="163">
        <v>38383</v>
      </c>
      <c r="R20" s="70" t="str">
        <f>Iss_Mon_Yr&amp;"/01/"&amp;F15</f>
        <v>7/01/9</v>
      </c>
      <c r="S20" s="70" t="s">
        <v>631</v>
      </c>
      <c r="T20" s="85"/>
      <c r="U20" s="90">
        <v>4</v>
      </c>
      <c r="V20" s="91">
        <v>0</v>
      </c>
      <c r="W20" s="85"/>
      <c r="X20" s="85">
        <v>75650</v>
      </c>
      <c r="Y20" s="85">
        <v>0.25</v>
      </c>
      <c r="Z20" s="85">
        <v>8550</v>
      </c>
      <c r="AA20" s="85"/>
      <c r="AB20" s="85">
        <v>26821</v>
      </c>
      <c r="AC20" s="85">
        <v>0.0625</v>
      </c>
      <c r="AD20" s="70">
        <v>728.34</v>
      </c>
      <c r="AE20" s="85"/>
      <c r="AF20" s="85"/>
      <c r="AG20" s="85"/>
      <c r="AH20" s="85">
        <v>75650</v>
      </c>
      <c r="AI20" s="85">
        <v>0.25</v>
      </c>
      <c r="AJ20" s="85">
        <v>8550</v>
      </c>
      <c r="AK20" s="85"/>
      <c r="AL20" s="85">
        <v>26821</v>
      </c>
      <c r="AM20" s="85">
        <v>0.06</v>
      </c>
      <c r="AN20" s="70">
        <v>661.28</v>
      </c>
      <c r="AO20" s="85"/>
      <c r="AP20" s="85"/>
      <c r="AQ20" s="85"/>
      <c r="AR20" s="85">
        <v>75650</v>
      </c>
      <c r="AS20" s="85">
        <v>0.25</v>
      </c>
      <c r="AT20" s="85">
        <v>9350</v>
      </c>
      <c r="AU20" s="85"/>
      <c r="AV20" s="85">
        <v>26821</v>
      </c>
      <c r="AW20" s="85">
        <v>0.06</v>
      </c>
      <c r="AX20" s="70">
        <v>661.28</v>
      </c>
      <c r="AY20" s="85"/>
      <c r="AZ20" s="85"/>
      <c r="BA20" s="174">
        <v>26821</v>
      </c>
      <c r="BB20" s="174">
        <v>0.06875</v>
      </c>
      <c r="BC20" s="174">
        <v>801.16</v>
      </c>
      <c r="BD20" s="174"/>
      <c r="BE20" s="174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</row>
    <row r="21" spans="1:57" ht="13.5" thickBot="1">
      <c r="A21" s="9"/>
      <c r="B21" s="94"/>
      <c r="C21" s="95"/>
      <c r="D21" s="11"/>
      <c r="E21" s="12"/>
      <c r="F21" s="12"/>
      <c r="G21" s="12"/>
      <c r="H21" s="96"/>
      <c r="J21" s="87" t="s">
        <v>703</v>
      </c>
      <c r="K21" s="88"/>
      <c r="L21" s="89"/>
      <c r="M21" s="14" t="s">
        <v>610</v>
      </c>
      <c r="N21" s="85">
        <f>Red_Sal_Rate2-D6</f>
        <v>4000</v>
      </c>
      <c r="O21" s="88"/>
      <c r="P21" s="149" t="s">
        <v>671</v>
      </c>
      <c r="Q21" s="163">
        <v>38411</v>
      </c>
      <c r="R21" s="70" t="str">
        <f>IF(AND(PayFreq="S",R19="5/01/9",R20="5/01/9"),"0"&amp;Iss_Mon_Yr&amp;"/15/0"&amp;F15,"0"&amp;Iss_Mon_Yr&amp;"/01/0"&amp;F15)</f>
        <v>07/01/09</v>
      </c>
      <c r="S21" s="150" t="s">
        <v>678</v>
      </c>
      <c r="U21" s="76">
        <v>5</v>
      </c>
      <c r="V21" s="82">
        <v>0</v>
      </c>
      <c r="X21" s="21">
        <v>118130</v>
      </c>
      <c r="Y21" s="21">
        <v>0.28</v>
      </c>
      <c r="Z21" s="21">
        <v>19170</v>
      </c>
      <c r="AB21" s="54">
        <v>37233</v>
      </c>
      <c r="AC21" s="83">
        <v>0.0825</v>
      </c>
      <c r="AD21" s="14">
        <v>1379.09</v>
      </c>
      <c r="AH21" s="21">
        <v>118130</v>
      </c>
      <c r="AI21" s="21">
        <v>0.28</v>
      </c>
      <c r="AJ21" s="21">
        <v>19170</v>
      </c>
      <c r="AL21" s="54">
        <v>37233</v>
      </c>
      <c r="AM21" s="83">
        <v>0.08</v>
      </c>
      <c r="AN21" s="14">
        <v>1286</v>
      </c>
      <c r="AR21" s="21">
        <v>144800</v>
      </c>
      <c r="AS21" s="21">
        <v>0.28</v>
      </c>
      <c r="AT21" s="21">
        <v>26637.5</v>
      </c>
      <c r="AV21" s="54">
        <v>37233</v>
      </c>
      <c r="AW21" s="83">
        <v>0.08</v>
      </c>
      <c r="AX21" s="14">
        <v>1286</v>
      </c>
      <c r="BA21" s="170">
        <v>37233</v>
      </c>
      <c r="BB21" s="171">
        <v>0.09075</v>
      </c>
      <c r="BC21" s="172">
        <v>1516.99</v>
      </c>
      <c r="BD21" s="169"/>
      <c r="BE21" s="169"/>
    </row>
    <row r="22" spans="1:57" ht="14.25" thickBot="1" thickTop="1">
      <c r="A22" s="10"/>
      <c r="B22" s="99" t="s">
        <v>200</v>
      </c>
      <c r="C22" s="100" t="s">
        <v>201</v>
      </c>
      <c r="D22" s="101" t="s">
        <v>202</v>
      </c>
      <c r="E22" s="102"/>
      <c r="F22" s="103" t="s">
        <v>203</v>
      </c>
      <c r="G22" s="104"/>
      <c r="H22" s="105"/>
      <c r="J22" s="87"/>
      <c r="K22" s="88"/>
      <c r="L22" s="89"/>
      <c r="M22" s="14" t="s">
        <v>611</v>
      </c>
      <c r="N22" s="70">
        <f>IF(Salary_Per="H",N21*K9,IF(ISBLANK(Red_Sal_Rate),ROUND(((Q1-D6)/K6),5)*K9,ROUND((N21/K6),5)*K9))</f>
        <v>1818.1816000000001</v>
      </c>
      <c r="O22" s="88"/>
      <c r="P22" s="149" t="s">
        <v>672</v>
      </c>
      <c r="Q22" s="163">
        <v>38442</v>
      </c>
      <c r="R22" s="70" t="str">
        <f>D15&amp;"/01/0"&amp;F15</f>
        <v>7/01/09</v>
      </c>
      <c r="S22" s="150" t="s">
        <v>679</v>
      </c>
      <c r="U22" s="76">
        <v>6</v>
      </c>
      <c r="V22" s="82">
        <v>0</v>
      </c>
      <c r="X22" s="21">
        <v>216600</v>
      </c>
      <c r="Y22" s="21">
        <v>0.33</v>
      </c>
      <c r="Z22" s="21">
        <v>46741.6</v>
      </c>
      <c r="AB22" s="54">
        <v>47055</v>
      </c>
      <c r="AC22" s="83">
        <v>0.0955</v>
      </c>
      <c r="AD22" s="14">
        <v>2189.41</v>
      </c>
      <c r="AH22" s="21">
        <v>216600</v>
      </c>
      <c r="AI22" s="21">
        <v>0.33</v>
      </c>
      <c r="AJ22" s="21">
        <v>46741.6</v>
      </c>
      <c r="AL22" s="54">
        <v>47055</v>
      </c>
      <c r="AM22" s="83">
        <v>0.093</v>
      </c>
      <c r="AN22" s="14">
        <v>2071.76</v>
      </c>
      <c r="AR22" s="21">
        <v>216600</v>
      </c>
      <c r="AS22" s="21">
        <v>0.33</v>
      </c>
      <c r="AT22" s="21">
        <v>46741.5</v>
      </c>
      <c r="AV22" s="54">
        <v>47055</v>
      </c>
      <c r="AW22" s="83">
        <v>0.093</v>
      </c>
      <c r="AX22" s="14">
        <v>2071.76</v>
      </c>
      <c r="BA22" s="170">
        <v>47055</v>
      </c>
      <c r="BB22" s="171">
        <v>0.10505</v>
      </c>
      <c r="BC22" s="172">
        <v>2408.34</v>
      </c>
      <c r="BD22" s="169"/>
      <c r="BE22" s="169"/>
    </row>
    <row r="23" spans="1:57" ht="13.5" thickTop="1">
      <c r="A23" s="106" t="s">
        <v>204</v>
      </c>
      <c r="B23" s="107">
        <f>Gross_Net</f>
        <v>4000</v>
      </c>
      <c r="C23" s="108">
        <f>Reg_Net_Grs</f>
        <v>1818.18</v>
      </c>
      <c r="D23" s="109">
        <f>IDL_Grs</f>
        <v>830.91</v>
      </c>
      <c r="E23" s="110"/>
      <c r="F23" s="108">
        <f>IDL_23_Grs</f>
        <v>727.27</v>
      </c>
      <c r="G23" s="104"/>
      <c r="H23" s="111"/>
      <c r="J23" s="167"/>
      <c r="K23" s="88"/>
      <c r="L23" s="89"/>
      <c r="M23" s="14" t="s">
        <v>612</v>
      </c>
      <c r="N23" s="85">
        <f>Org_Sal_Rate-D6</f>
        <v>4000</v>
      </c>
      <c r="O23" s="88"/>
      <c r="P23" s="149" t="s">
        <v>673</v>
      </c>
      <c r="Q23" s="163">
        <v>38472</v>
      </c>
      <c r="R23" s="70" t="str">
        <f>LEFT(Iss_Mon_Yr,2)</f>
        <v>7</v>
      </c>
      <c r="U23" s="76">
        <v>7</v>
      </c>
      <c r="V23" s="82">
        <v>0</v>
      </c>
      <c r="X23" s="21">
        <v>380700</v>
      </c>
      <c r="Y23" s="62">
        <v>0.35</v>
      </c>
      <c r="Z23" s="21">
        <v>100894.6</v>
      </c>
      <c r="AB23" s="54">
        <v>1000000</v>
      </c>
      <c r="AC23" s="83">
        <v>0.1055</v>
      </c>
      <c r="AD23" s="14">
        <v>93195.66</v>
      </c>
      <c r="AH23" s="21">
        <v>380700</v>
      </c>
      <c r="AI23" s="62">
        <v>0.35</v>
      </c>
      <c r="AJ23" s="21">
        <v>100894.6</v>
      </c>
      <c r="AL23" s="54">
        <v>1000000</v>
      </c>
      <c r="AM23" s="83">
        <v>0.103</v>
      </c>
      <c r="AN23" s="14">
        <v>90695.65</v>
      </c>
      <c r="AR23" s="21">
        <v>380700</v>
      </c>
      <c r="AS23" s="62">
        <v>0.35</v>
      </c>
      <c r="AT23" s="21">
        <v>100894.5</v>
      </c>
      <c r="AV23" s="54">
        <v>1000000</v>
      </c>
      <c r="AW23" s="83">
        <v>0.103</v>
      </c>
      <c r="AX23" s="14">
        <v>90695.65</v>
      </c>
      <c r="BA23" s="170">
        <v>1000000</v>
      </c>
      <c r="BB23" s="171">
        <v>0.11605</v>
      </c>
      <c r="BC23" s="172">
        <v>102515.21</v>
      </c>
      <c r="BD23" s="169"/>
      <c r="BE23" s="169"/>
    </row>
    <row r="24" spans="1:57" ht="12.75">
      <c r="A24" s="112" t="s">
        <v>205</v>
      </c>
      <c r="B24" s="68">
        <f>EPMC</f>
        <v>174.35</v>
      </c>
      <c r="C24" s="113">
        <f>IF(N39=1,T27,Reg_EPMC)</f>
        <v>65.26</v>
      </c>
      <c r="D24" s="114">
        <f>M8</f>
        <v>54.54</v>
      </c>
      <c r="E24" s="114"/>
      <c r="F24" s="113">
        <f>M10</f>
        <v>54.55</v>
      </c>
      <c r="G24" s="104"/>
      <c r="H24" s="111"/>
      <c r="J24" s="167"/>
      <c r="K24" s="88"/>
      <c r="L24" s="89"/>
      <c r="M24" s="14" t="s">
        <v>625</v>
      </c>
      <c r="N24" s="85">
        <f>IF(Salary_Per="H",N23*K10,N23/K6*K10)</f>
        <v>1090.909090909091</v>
      </c>
      <c r="O24" s="88"/>
      <c r="P24" s="149" t="s">
        <v>674</v>
      </c>
      <c r="Q24" s="163">
        <v>38486</v>
      </c>
      <c r="R24" s="14">
        <f>LEN(Iss_Mon_Yr)</f>
        <v>1</v>
      </c>
      <c r="U24" s="76">
        <v>8</v>
      </c>
      <c r="V24" s="82">
        <v>0</v>
      </c>
      <c r="X24" s="21">
        <v>999999.99</v>
      </c>
      <c r="Y24" s="21">
        <v>0.31</v>
      </c>
      <c r="Z24" s="21">
        <v>99999.99</v>
      </c>
      <c r="AB24" s="54">
        <v>9999999</v>
      </c>
      <c r="AC24" s="83">
        <v>0.1055</v>
      </c>
      <c r="AD24" s="14">
        <v>99999</v>
      </c>
      <c r="AH24" s="21">
        <v>999999.99</v>
      </c>
      <c r="AI24" s="21">
        <v>0.31</v>
      </c>
      <c r="AJ24" s="21">
        <v>99999.99</v>
      </c>
      <c r="AL24" s="54">
        <v>9999999</v>
      </c>
      <c r="AM24" s="83">
        <v>0.103</v>
      </c>
      <c r="AN24" s="14">
        <v>99999</v>
      </c>
      <c r="AR24" s="21">
        <v>999999.99</v>
      </c>
      <c r="AS24" s="21">
        <v>0.31</v>
      </c>
      <c r="AT24" s="21">
        <v>99999.99</v>
      </c>
      <c r="AV24" s="54">
        <v>9999999</v>
      </c>
      <c r="AW24" s="83">
        <v>0.103</v>
      </c>
      <c r="AX24" s="14">
        <v>99999</v>
      </c>
      <c r="BA24" s="170">
        <v>9999999</v>
      </c>
      <c r="BB24" s="171">
        <v>0.11605</v>
      </c>
      <c r="BC24" s="172">
        <v>99999</v>
      </c>
      <c r="BD24" s="169"/>
      <c r="BE24" s="169"/>
    </row>
    <row r="25" spans="1:57" ht="12.75">
      <c r="A25" s="112" t="s">
        <v>206</v>
      </c>
      <c r="B25" s="68">
        <f>OASDI</f>
        <v>248</v>
      </c>
      <c r="C25" s="115">
        <f>Reg_SS</f>
        <v>112.73</v>
      </c>
      <c r="D25" s="104"/>
      <c r="E25" s="111"/>
      <c r="F25" s="116"/>
      <c r="G25" s="104"/>
      <c r="H25" s="111"/>
      <c r="J25" s="87"/>
      <c r="K25" s="88"/>
      <c r="L25" s="89"/>
      <c r="M25" s="14" t="s">
        <v>626</v>
      </c>
      <c r="N25" s="85">
        <f>IF(Salary_Per="H",N23*K11,N23/K6*K11)</f>
        <v>1090.909090909091</v>
      </c>
      <c r="O25" s="88"/>
      <c r="P25" s="149" t="s">
        <v>675</v>
      </c>
      <c r="Q25" s="163">
        <v>38503</v>
      </c>
      <c r="R25" s="70"/>
      <c r="U25" s="76">
        <v>9</v>
      </c>
      <c r="V25" s="82">
        <v>0</v>
      </c>
      <c r="X25" s="21"/>
      <c r="AB25" s="54">
        <v>9999999</v>
      </c>
      <c r="AC25" s="83">
        <v>0.1055</v>
      </c>
      <c r="AD25" s="14">
        <v>99999</v>
      </c>
      <c r="AH25" s="21"/>
      <c r="AL25" s="54">
        <v>9999999</v>
      </c>
      <c r="AM25" s="83">
        <v>0.103</v>
      </c>
      <c r="AN25" s="14">
        <v>99999</v>
      </c>
      <c r="AR25" s="21"/>
      <c r="AV25" s="54">
        <v>9999999</v>
      </c>
      <c r="AW25" s="83">
        <v>0.103</v>
      </c>
      <c r="AX25" s="14">
        <v>99999</v>
      </c>
      <c r="BA25" s="170">
        <v>9999999</v>
      </c>
      <c r="BB25" s="171">
        <v>0.11605</v>
      </c>
      <c r="BC25" s="172">
        <v>99999</v>
      </c>
      <c r="BD25" s="169"/>
      <c r="BE25" s="169"/>
    </row>
    <row r="26" spans="1:57" ht="12.75">
      <c r="A26" s="112" t="s">
        <v>207</v>
      </c>
      <c r="B26" s="68">
        <f>MED</f>
        <v>58</v>
      </c>
      <c r="C26" s="115">
        <f>Reg_Med</f>
        <v>26.36</v>
      </c>
      <c r="D26" s="104"/>
      <c r="E26" s="111"/>
      <c r="F26" s="116"/>
      <c r="G26" s="104"/>
      <c r="H26" s="111"/>
      <c r="J26" s="166"/>
      <c r="K26" s="88"/>
      <c r="L26" s="89"/>
      <c r="M26" s="159" t="s">
        <v>623</v>
      </c>
      <c r="N26" s="158"/>
      <c r="O26" s="88"/>
      <c r="P26" s="149" t="s">
        <v>676</v>
      </c>
      <c r="Q26" s="163">
        <v>38533</v>
      </c>
      <c r="R26" s="14" t="s">
        <v>545</v>
      </c>
      <c r="U26" s="76">
        <v>10</v>
      </c>
      <c r="V26" s="82">
        <v>0</v>
      </c>
      <c r="Y26" s="7" t="s">
        <v>220</v>
      </c>
      <c r="AB26" s="54">
        <v>9999999</v>
      </c>
      <c r="AC26" s="83">
        <v>0.1055</v>
      </c>
      <c r="AD26" s="14">
        <v>99999</v>
      </c>
      <c r="AL26" s="54">
        <v>9999999</v>
      </c>
      <c r="AM26" s="83">
        <v>0.103</v>
      </c>
      <c r="AN26" s="14">
        <v>99999</v>
      </c>
      <c r="AV26" s="54">
        <v>9999999</v>
      </c>
      <c r="AW26" s="83">
        <v>0.103</v>
      </c>
      <c r="AX26" s="14">
        <v>99999</v>
      </c>
      <c r="BA26" s="170">
        <v>9999999</v>
      </c>
      <c r="BB26" s="171">
        <v>0.11605</v>
      </c>
      <c r="BC26" s="172">
        <v>99999</v>
      </c>
      <c r="BD26" s="169"/>
      <c r="BE26" s="169"/>
    </row>
    <row r="27" spans="1:57" ht="12.75">
      <c r="A27" s="112" t="s">
        <v>208</v>
      </c>
      <c r="B27" s="68">
        <f>IF(OR(TxChart_code=3,TxChart_code=4),FTAX1,IF(TxChart_code=2,FTAX7,FTAX13))</f>
        <v>340.72</v>
      </c>
      <c r="C27" s="115">
        <f>IF(OR(TxChart_code=3,TxChart_code=4),FTAX2,IF(TxChart_code=2,FTAX8,FTAX14))</f>
        <v>44.04</v>
      </c>
      <c r="D27" s="104"/>
      <c r="E27" s="111"/>
      <c r="F27" s="116"/>
      <c r="G27" s="104"/>
      <c r="H27" s="111"/>
      <c r="J27" s="87"/>
      <c r="K27" s="88"/>
      <c r="L27" s="89"/>
      <c r="M27" s="159" t="s">
        <v>666</v>
      </c>
      <c r="N27" s="160">
        <f>Org_Sal_Rate-D6</f>
        <v>4000</v>
      </c>
      <c r="O27" s="88"/>
      <c r="P27" s="149" t="s">
        <v>677</v>
      </c>
      <c r="Q27" s="163">
        <v>38564</v>
      </c>
      <c r="R27" s="14" t="s">
        <v>544</v>
      </c>
      <c r="S27" s="14" t="s">
        <v>554</v>
      </c>
      <c r="T27" s="20">
        <f>IF(AND(Org_Sal_Rate=4000,ISBLANK(Red_Sal_Rate)),ROUND((Reg_Net_Grs-S3)*S4,2),Reg_EPMC)</f>
        <v>65.26</v>
      </c>
      <c r="U27" s="76">
        <v>11</v>
      </c>
      <c r="V27" s="82">
        <v>0</v>
      </c>
      <c r="X27" s="13" t="s">
        <v>221</v>
      </c>
      <c r="Y27" s="13" t="s">
        <v>222</v>
      </c>
      <c r="Z27" s="7" t="s">
        <v>13</v>
      </c>
      <c r="AA27" s="9" t="s">
        <v>326</v>
      </c>
      <c r="AB27" s="54">
        <v>9999999</v>
      </c>
      <c r="AC27" s="83">
        <v>0.1055</v>
      </c>
      <c r="AD27" s="14">
        <v>99999</v>
      </c>
      <c r="AL27" s="54">
        <v>9999999</v>
      </c>
      <c r="AM27" s="83">
        <v>0.103</v>
      </c>
      <c r="AN27" s="14">
        <v>99999</v>
      </c>
      <c r="AV27" s="54">
        <v>9999999</v>
      </c>
      <c r="AW27" s="83">
        <v>0.103</v>
      </c>
      <c r="AX27" s="14">
        <v>99999</v>
      </c>
      <c r="BA27" s="170">
        <v>9999999</v>
      </c>
      <c r="BB27" s="171">
        <v>0.11605</v>
      </c>
      <c r="BC27" s="172">
        <v>99999</v>
      </c>
      <c r="BD27" s="169"/>
      <c r="BE27" s="169"/>
    </row>
    <row r="28" spans="1:57" ht="12.75">
      <c r="A28" s="112" t="s">
        <v>209</v>
      </c>
      <c r="B28" s="68">
        <f>IF(TxChart_code=4,STAX4,IF(TxChart_code=3,STAX1,IF(TxChart_code=2,STAX7,STAX13)))</f>
        <v>80.92</v>
      </c>
      <c r="C28" s="115">
        <f>IF(TxChart_code=4,STAX5,IF(TxChart_code=3,STAX2,IF(TxChart_code=2,STAX8,STAX14)))</f>
        <v>20.57</v>
      </c>
      <c r="D28" s="104"/>
      <c r="E28" s="111"/>
      <c r="F28" s="116"/>
      <c r="G28" s="104"/>
      <c r="H28" s="111"/>
      <c r="J28" s="87"/>
      <c r="K28" s="88"/>
      <c r="L28" s="89"/>
      <c r="M28" s="159" t="s">
        <v>624</v>
      </c>
      <c r="N28" s="159">
        <f>IF(Salary_Per="H",N27*K9,(N27/K6)*K9)</f>
        <v>1818.181818181818</v>
      </c>
      <c r="O28" s="88"/>
      <c r="P28" s="149" t="s">
        <v>669</v>
      </c>
      <c r="Q28" s="85">
        <v>38595</v>
      </c>
      <c r="R28" s="14" t="s">
        <v>555</v>
      </c>
      <c r="S28" s="14" t="s">
        <v>180</v>
      </c>
      <c r="T28" s="20"/>
      <c r="U28" s="76">
        <v>12</v>
      </c>
      <c r="V28" s="82">
        <v>0</v>
      </c>
      <c r="X28" s="42">
        <v>0</v>
      </c>
      <c r="Y28" s="7">
        <v>317</v>
      </c>
      <c r="Z28" s="7">
        <v>0.06</v>
      </c>
      <c r="AA28" s="7" t="s">
        <v>223</v>
      </c>
      <c r="AD28" s="14"/>
      <c r="BA28" s="169"/>
      <c r="BB28" s="169"/>
      <c r="BC28" s="169"/>
      <c r="BD28" s="169"/>
      <c r="BE28" s="169"/>
    </row>
    <row r="29" spans="1:57" ht="12.75">
      <c r="A29" s="112" t="s">
        <v>178</v>
      </c>
      <c r="B29" s="68">
        <f>SDI1</f>
        <v>44</v>
      </c>
      <c r="C29" s="115">
        <f>Reg_SDI</f>
        <v>19.99998</v>
      </c>
      <c r="D29" s="104"/>
      <c r="E29" s="111"/>
      <c r="F29" s="116"/>
      <c r="G29" s="104"/>
      <c r="H29" s="111"/>
      <c r="J29" s="87"/>
      <c r="K29" s="88"/>
      <c r="L29" s="89"/>
      <c r="M29" s="159" t="s">
        <v>627</v>
      </c>
      <c r="N29" s="159">
        <f>+N28+N24</f>
        <v>2909.090909090909</v>
      </c>
      <c r="O29" s="88"/>
      <c r="P29" s="149" t="s">
        <v>591</v>
      </c>
      <c r="Q29" s="163">
        <v>38625</v>
      </c>
      <c r="R29" s="14" t="s">
        <v>546</v>
      </c>
      <c r="S29" s="14" t="s">
        <v>554</v>
      </c>
      <c r="T29" s="20"/>
      <c r="U29" s="76">
        <v>13</v>
      </c>
      <c r="V29" s="82">
        <v>0</v>
      </c>
      <c r="X29" s="42">
        <v>1</v>
      </c>
      <c r="Y29" s="7">
        <v>0</v>
      </c>
      <c r="Z29" s="7">
        <v>0</v>
      </c>
      <c r="AA29" s="7" t="s">
        <v>223</v>
      </c>
      <c r="AB29" s="9" t="s">
        <v>53</v>
      </c>
      <c r="AD29" s="14"/>
      <c r="AL29" s="9" t="s">
        <v>53</v>
      </c>
      <c r="AV29" s="9" t="s">
        <v>53</v>
      </c>
      <c r="BA29" s="168" t="s">
        <v>53</v>
      </c>
      <c r="BB29" s="169"/>
      <c r="BC29" s="169"/>
      <c r="BD29" s="169"/>
      <c r="BE29" s="169"/>
    </row>
    <row r="30" spans="1:57" ht="13.5" thickBot="1">
      <c r="A30" s="112" t="s">
        <v>210</v>
      </c>
      <c r="B30" s="117">
        <f>ROUND(B23-(ROUND(SUM(B24:B29),2)),2)</f>
        <v>3054.01</v>
      </c>
      <c r="C30" s="117">
        <f>ROUND(C23-(SUM(C24:C29)),2)</f>
        <v>1529.22</v>
      </c>
      <c r="D30" s="118">
        <f>ROUND(D23-D24,2)</f>
        <v>776.37</v>
      </c>
      <c r="E30" s="118"/>
      <c r="F30" s="117">
        <f>ROUND(F23-F24,2)</f>
        <v>672.72</v>
      </c>
      <c r="G30" s="104"/>
      <c r="H30" s="111"/>
      <c r="J30" s="87"/>
      <c r="K30" s="88"/>
      <c r="L30" s="89"/>
      <c r="M30" s="14" t="s">
        <v>609</v>
      </c>
      <c r="N30" s="14">
        <f>Salary_Rate-D6</f>
        <v>4000</v>
      </c>
      <c r="O30" s="88"/>
      <c r="P30" s="149" t="s">
        <v>593</v>
      </c>
      <c r="Q30" s="163">
        <v>38656</v>
      </c>
      <c r="R30" s="14" t="s">
        <v>547</v>
      </c>
      <c r="S30" s="14" t="s">
        <v>554</v>
      </c>
      <c r="T30" s="20"/>
      <c r="U30" s="76">
        <v>14</v>
      </c>
      <c r="V30" s="82">
        <v>0</v>
      </c>
      <c r="X30" s="42">
        <v>2</v>
      </c>
      <c r="Y30" s="7">
        <v>0</v>
      </c>
      <c r="Z30" s="7">
        <v>0</v>
      </c>
      <c r="AA30" s="7" t="s">
        <v>223</v>
      </c>
      <c r="AB30" s="9" t="s">
        <v>12</v>
      </c>
      <c r="AC30" s="9" t="s">
        <v>13</v>
      </c>
      <c r="AD30" s="97" t="s">
        <v>14</v>
      </c>
      <c r="AL30" s="9" t="s">
        <v>12</v>
      </c>
      <c r="AM30" s="9" t="s">
        <v>13</v>
      </c>
      <c r="AN30" s="9" t="s">
        <v>14</v>
      </c>
      <c r="AV30" s="9" t="s">
        <v>12</v>
      </c>
      <c r="AW30" s="9" t="s">
        <v>13</v>
      </c>
      <c r="AX30" s="9" t="s">
        <v>14</v>
      </c>
      <c r="BA30" s="168" t="s">
        <v>12</v>
      </c>
      <c r="BB30" s="168" t="s">
        <v>13</v>
      </c>
      <c r="BC30" s="168" t="s">
        <v>14</v>
      </c>
      <c r="BD30" s="169"/>
      <c r="BE30" s="169"/>
    </row>
    <row r="31" spans="1:57" ht="14.25" thickBot="1" thickTop="1">
      <c r="A31" s="112" t="s">
        <v>308</v>
      </c>
      <c r="B31" s="86">
        <f>Org_Hr_Rate</f>
        <v>22.72727</v>
      </c>
      <c r="C31" s="119"/>
      <c r="D31" s="104"/>
      <c r="E31" s="104"/>
      <c r="F31" s="120"/>
      <c r="G31" s="121"/>
      <c r="H31" s="111"/>
      <c r="J31" s="87"/>
      <c r="K31" s="88"/>
      <c r="L31" s="89"/>
      <c r="M31" s="159" t="s">
        <v>628</v>
      </c>
      <c r="N31" s="159">
        <f>ROUND((N29-S3)*EPMC_P,2)</f>
        <v>119.8</v>
      </c>
      <c r="O31" s="88"/>
      <c r="P31" s="149" t="s">
        <v>592</v>
      </c>
      <c r="Q31" s="163">
        <v>38686</v>
      </c>
      <c r="R31" s="14" t="s">
        <v>556</v>
      </c>
      <c r="S31" s="14" t="s">
        <v>180</v>
      </c>
      <c r="T31" s="21"/>
      <c r="U31" s="76">
        <v>15</v>
      </c>
      <c r="V31" s="82">
        <v>0</v>
      </c>
      <c r="X31" s="42">
        <v>3</v>
      </c>
      <c r="Y31" s="7">
        <v>0</v>
      </c>
      <c r="Z31" s="7">
        <v>0</v>
      </c>
      <c r="AA31" s="7" t="s">
        <v>224</v>
      </c>
      <c r="AB31" s="54">
        <v>0</v>
      </c>
      <c r="AC31" s="83">
        <v>0.0125</v>
      </c>
      <c r="AD31" s="14">
        <v>0</v>
      </c>
      <c r="AL31" s="54">
        <v>0</v>
      </c>
      <c r="AM31" s="83">
        <v>0.01</v>
      </c>
      <c r="AN31" s="21">
        <v>0</v>
      </c>
      <c r="AV31" s="54">
        <v>0</v>
      </c>
      <c r="AW31" s="83">
        <v>0.01</v>
      </c>
      <c r="AX31" s="21">
        <v>0</v>
      </c>
      <c r="BA31" s="170">
        <v>0</v>
      </c>
      <c r="BB31" s="171">
        <v>0.01375</v>
      </c>
      <c r="BC31" s="172">
        <v>0</v>
      </c>
      <c r="BD31" s="169"/>
      <c r="BE31" s="169"/>
    </row>
    <row r="32" spans="1:57" ht="14.25" thickBot="1" thickTop="1">
      <c r="A32" s="112" t="s">
        <v>302</v>
      </c>
      <c r="B32" s="68">
        <f>IF(ROUND(Full_Net-(SUM(C30:F30)),2)&lt;0,0,ROUND(Full_Net-(SUM(C30:F30)),2))</f>
        <v>75.7</v>
      </c>
      <c r="C32" s="122" t="s">
        <v>303</v>
      </c>
      <c r="D32" s="123">
        <f>IF(S18&lt;38656,Withhold_Factor,Withhold_Factor2)</f>
        <v>0.6135</v>
      </c>
      <c r="E32" s="123"/>
      <c r="F32" s="124" t="s">
        <v>304</v>
      </c>
      <c r="G32" s="125">
        <f>ROUND(Supple_Gross_Net/Divided_By,2)</f>
        <v>123.39</v>
      </c>
      <c r="H32" s="126"/>
      <c r="J32" s="87"/>
      <c r="K32" s="88"/>
      <c r="L32" s="89"/>
      <c r="M32" s="159" t="s">
        <v>634</v>
      </c>
      <c r="N32" s="159">
        <f>IF(N28&gt;S3,ROUND(N24*EPMC_P,2)-0.01,IF(AND(ISBLANK(Red_Sal_Rate),N28&lt;S3,N24&gt;S3,PayFreq&lt;&gt;"S"),ROUND(((N28+N24)-S3)*EPMC_P,2),IF(AND(N28&lt;S3,N29&gt;S3,PayFreq&lt;&gt;"S"),ROUND((N29-S3)*EPMC_P,2),IF(PayFreq="s",N38,0))))</f>
        <v>54.54</v>
      </c>
      <c r="O32" s="88"/>
      <c r="P32" s="158"/>
      <c r="Q32" s="158"/>
      <c r="R32" s="14" t="s">
        <v>557</v>
      </c>
      <c r="S32" s="14" t="s">
        <v>180</v>
      </c>
      <c r="T32" s="21"/>
      <c r="U32" s="76">
        <v>16</v>
      </c>
      <c r="V32" s="82">
        <v>0</v>
      </c>
      <c r="X32" s="42">
        <v>4</v>
      </c>
      <c r="Y32" s="7">
        <v>0</v>
      </c>
      <c r="Z32" s="7">
        <v>0</v>
      </c>
      <c r="AA32" s="7" t="s">
        <v>224</v>
      </c>
      <c r="AB32" s="54">
        <v>14336</v>
      </c>
      <c r="AC32" s="83">
        <v>0.0225</v>
      </c>
      <c r="AD32" s="14">
        <v>179.2</v>
      </c>
      <c r="AL32" s="54">
        <v>14336</v>
      </c>
      <c r="AM32" s="83">
        <v>0.02</v>
      </c>
      <c r="AN32" s="21">
        <v>143.36</v>
      </c>
      <c r="AV32" s="54">
        <v>14336</v>
      </c>
      <c r="AW32" s="83">
        <v>0.02</v>
      </c>
      <c r="AX32" s="21">
        <v>143.36</v>
      </c>
      <c r="BA32" s="170">
        <v>14336</v>
      </c>
      <c r="BB32" s="171">
        <v>0.02475</v>
      </c>
      <c r="BC32" s="172">
        <v>197.12</v>
      </c>
      <c r="BD32" s="169"/>
      <c r="BE32" s="169"/>
    </row>
    <row r="33" spans="1:57" ht="14.25" thickBot="1" thickTop="1">
      <c r="A33" s="127" t="s">
        <v>309</v>
      </c>
      <c r="B33" s="128">
        <f>S9</f>
        <v>123.39038304808476</v>
      </c>
      <c r="C33" s="129"/>
      <c r="D33" s="104"/>
      <c r="E33" s="130"/>
      <c r="F33" s="131"/>
      <c r="G33" s="132"/>
      <c r="H33" s="111"/>
      <c r="J33" s="87"/>
      <c r="K33" s="88"/>
      <c r="L33" s="89"/>
      <c r="M33" s="14" t="s">
        <v>636</v>
      </c>
      <c r="N33" s="159">
        <f>ROUND(IF(Reg_Net_Grs=0,0,IF(AND(ISBLANK(Red_Sal_Rate),LEFT(Ret_SM_Exl_Apply,1)="y",N28&gt;S3),(N28-S3)*EPMC_P,IF(AND(ISBLANK(Red_Sal_Rate),LEFT(Ret_SM_Exl_Apply,1)="N"),N28*EPMC_P,IF(AND(LEFT(Ret_SM_Exl_Apply,1)="Y",Red_Sal_Rate&gt;0,N22&gt;S3),(N22-S3)*EPMC_P,IF(LEFT(Ret_SM_Exl_Apply,1)="N",N22*EPMC_P,0))))),2)</f>
        <v>0</v>
      </c>
      <c r="O33" s="88"/>
      <c r="P33" s="158"/>
      <c r="Q33" s="158">
        <f>+Q29</f>
        <v>38625</v>
      </c>
      <c r="R33" s="14" t="s">
        <v>558</v>
      </c>
      <c r="S33" s="14" t="s">
        <v>180</v>
      </c>
      <c r="T33" s="21"/>
      <c r="U33" s="76">
        <v>17</v>
      </c>
      <c r="V33" s="82">
        <v>0</v>
      </c>
      <c r="X33" s="42">
        <v>5</v>
      </c>
      <c r="Y33" s="7">
        <v>317</v>
      </c>
      <c r="Z33" s="7">
        <v>0</v>
      </c>
      <c r="AA33" s="7" t="s">
        <v>223</v>
      </c>
      <c r="AB33" s="54">
        <v>33988</v>
      </c>
      <c r="AC33" s="83">
        <v>0.0425</v>
      </c>
      <c r="AD33" s="14">
        <v>621.37</v>
      </c>
      <c r="AL33" s="54">
        <v>33988</v>
      </c>
      <c r="AM33" s="83">
        <v>0.04</v>
      </c>
      <c r="AN33" s="21">
        <v>536.4</v>
      </c>
      <c r="AV33" s="54">
        <v>33988</v>
      </c>
      <c r="AW33" s="83">
        <v>0.04</v>
      </c>
      <c r="AX33" s="21">
        <v>536.4</v>
      </c>
      <c r="BA33" s="170">
        <v>33988</v>
      </c>
      <c r="BB33" s="171">
        <v>0.04675</v>
      </c>
      <c r="BC33" s="172">
        <v>683.51</v>
      </c>
      <c r="BD33" s="169"/>
      <c r="BE33" s="169"/>
    </row>
    <row r="34" spans="1:57" ht="14.25" thickBot="1" thickTop="1">
      <c r="A34" s="133" t="s">
        <v>305</v>
      </c>
      <c r="B34" s="134"/>
      <c r="C34" s="135"/>
      <c r="D34" s="136">
        <f>S10</f>
        <v>5</v>
      </c>
      <c r="E34" s="137"/>
      <c r="F34" s="104"/>
      <c r="G34" s="104"/>
      <c r="H34" s="111"/>
      <c r="J34" s="87"/>
      <c r="K34" s="88"/>
      <c r="L34" s="89"/>
      <c r="M34" s="159" t="s">
        <v>635</v>
      </c>
      <c r="N34" s="159">
        <f>ROUND(IF(AND(Reg_EPMC=0,N24&gt;S3),(N24+N7)*EPMC_P,IF(Reg_EPMC&gt;0,N24*EPMC_P,IF(AND(Reg_Net_Grs&gt;0,Reg_EPMC=0,IDL_Full&gt;N35,ISBLANK(D6)),(IDL_Full+N7)*EPMC_P,IF(AND(Reg_Net_Grs&gt;0,Reg_EPMC=0,IDL_Full&gt;N35,D6&gt;0),(N24+N7)*EPMC_P,0)))),2)</f>
        <v>54.55</v>
      </c>
      <c r="O34" s="88"/>
      <c r="P34" s="158"/>
      <c r="Q34" s="158">
        <f>+Q28</f>
        <v>38595</v>
      </c>
      <c r="R34" s="14" t="s">
        <v>559</v>
      </c>
      <c r="S34" s="14" t="s">
        <v>180</v>
      </c>
      <c r="T34" s="21"/>
      <c r="U34" s="76">
        <v>18</v>
      </c>
      <c r="V34" s="82">
        <v>0</v>
      </c>
      <c r="X34" s="42">
        <v>6</v>
      </c>
      <c r="Y34" s="7">
        <v>317</v>
      </c>
      <c r="Z34" s="7">
        <v>0</v>
      </c>
      <c r="AA34" s="7" t="s">
        <v>174</v>
      </c>
      <c r="AB34" s="54">
        <v>53642</v>
      </c>
      <c r="AC34" s="83">
        <v>0.0625</v>
      </c>
      <c r="AD34" s="14">
        <v>1456.67</v>
      </c>
      <c r="AL34" s="54">
        <v>53642</v>
      </c>
      <c r="AM34" s="83">
        <v>0.06</v>
      </c>
      <c r="AN34" s="21">
        <v>1322.56</v>
      </c>
      <c r="AV34" s="54">
        <v>53642</v>
      </c>
      <c r="AW34" s="83">
        <v>0.06</v>
      </c>
      <c r="AX34" s="21">
        <v>1322.56</v>
      </c>
      <c r="BA34" s="170">
        <v>53642</v>
      </c>
      <c r="BB34" s="171">
        <v>0.06875</v>
      </c>
      <c r="BC34" s="172">
        <v>1602.33</v>
      </c>
      <c r="BD34" s="169"/>
      <c r="BE34" s="169"/>
    </row>
    <row r="35" spans="1:57" ht="14.25" thickBot="1" thickTop="1">
      <c r="A35" s="138" t="s">
        <v>306</v>
      </c>
      <c r="B35" s="139">
        <f>S11</f>
        <v>0</v>
      </c>
      <c r="C35" s="140" t="s">
        <v>307</v>
      </c>
      <c r="D35" s="141">
        <f>S12</f>
        <v>5</v>
      </c>
      <c r="E35" s="142"/>
      <c r="F35" s="143"/>
      <c r="G35" s="144"/>
      <c r="H35" s="145"/>
      <c r="J35" s="87"/>
      <c r="K35" s="88"/>
      <c r="L35" s="89"/>
      <c r="M35" s="159" t="s">
        <v>642</v>
      </c>
      <c r="N35" s="164">
        <f>-N7</f>
        <v>-1305.1816000000001</v>
      </c>
      <c r="O35" s="88"/>
      <c r="P35" s="158"/>
      <c r="Q35" s="158"/>
      <c r="R35" s="14" t="s">
        <v>560</v>
      </c>
      <c r="S35" s="14" t="s">
        <v>180</v>
      </c>
      <c r="T35" s="21"/>
      <c r="U35" s="76">
        <v>19</v>
      </c>
      <c r="V35" s="82">
        <v>0</v>
      </c>
      <c r="X35" s="42">
        <v>7</v>
      </c>
      <c r="Y35" s="7">
        <v>317</v>
      </c>
      <c r="Z35" s="7">
        <v>0</v>
      </c>
      <c r="AA35" s="7" t="s">
        <v>223</v>
      </c>
      <c r="AB35" s="54">
        <v>74466</v>
      </c>
      <c r="AC35" s="83">
        <v>0.0825</v>
      </c>
      <c r="AD35" s="14">
        <v>2758.17</v>
      </c>
      <c r="AL35" s="54">
        <v>74466</v>
      </c>
      <c r="AM35" s="83">
        <v>0.08</v>
      </c>
      <c r="AN35" s="21">
        <v>2572</v>
      </c>
      <c r="AV35" s="54">
        <v>74466</v>
      </c>
      <c r="AW35" s="83">
        <v>0.08</v>
      </c>
      <c r="AX35" s="21">
        <v>2572</v>
      </c>
      <c r="BA35" s="170">
        <v>74466</v>
      </c>
      <c r="BB35" s="171">
        <v>0.09075</v>
      </c>
      <c r="BC35" s="172">
        <v>3033.98</v>
      </c>
      <c r="BD35" s="169"/>
      <c r="BE35" s="169"/>
    </row>
    <row r="36" spans="1:57" ht="13.5" thickTop="1">
      <c r="A36" s="146"/>
      <c r="J36" s="87"/>
      <c r="K36" s="88"/>
      <c r="L36" s="89"/>
      <c r="M36" s="159" t="s">
        <v>654</v>
      </c>
      <c r="N36" s="159">
        <f>ROUND(IF(LEFT(Ret_SM_Exl_Apply,1)="n",N25*EPMC_P,0),2)</f>
        <v>0</v>
      </c>
      <c r="O36" s="88"/>
      <c r="P36" s="158"/>
      <c r="Q36" s="158"/>
      <c r="R36" s="14" t="s">
        <v>561</v>
      </c>
      <c r="S36" s="14" t="s">
        <v>180</v>
      </c>
      <c r="T36" s="21"/>
      <c r="U36" s="76">
        <v>20</v>
      </c>
      <c r="V36" s="82">
        <v>0</v>
      </c>
      <c r="X36" s="42">
        <v>8</v>
      </c>
      <c r="Y36" s="7">
        <v>513</v>
      </c>
      <c r="Z36" s="7">
        <v>0.05</v>
      </c>
      <c r="AA36" s="7" t="s">
        <v>224</v>
      </c>
      <c r="AB36" s="54">
        <v>94110</v>
      </c>
      <c r="AC36" s="83">
        <v>0.0955</v>
      </c>
      <c r="AD36" s="14">
        <v>4378.8</v>
      </c>
      <c r="AL36" s="54">
        <v>94110</v>
      </c>
      <c r="AM36" s="83">
        <v>0.093</v>
      </c>
      <c r="AN36" s="21">
        <v>4143.52</v>
      </c>
      <c r="AV36" s="54">
        <v>94110</v>
      </c>
      <c r="AW36" s="83">
        <v>0.093</v>
      </c>
      <c r="AX36" s="21">
        <v>4143.52</v>
      </c>
      <c r="BA36" s="170">
        <v>94110</v>
      </c>
      <c r="BB36" s="171">
        <v>0.10505</v>
      </c>
      <c r="BC36" s="172">
        <v>4816.67</v>
      </c>
      <c r="BD36" s="169"/>
      <c r="BE36" s="169"/>
    </row>
    <row r="37" spans="1:57" ht="12.75">
      <c r="A37" s="146"/>
      <c r="J37" s="87"/>
      <c r="K37" s="88"/>
      <c r="L37" s="89"/>
      <c r="M37" s="159" t="s">
        <v>655</v>
      </c>
      <c r="N37" s="159">
        <f>ROUND(IF(AND(Reg_EPMC=0,M8=0,ISBLANK(Red_Sal_Rate)),((N25+N22+N24)-S3)*EPMC_P,IF(AND(Reg_EPMC&gt;0,M8&gt;0),N25*EPMC_P,IF(AND(Reg_EPMC&gt;0,M8=0),N25*EPMC_P,IF(AND(Reg_EPMC=0,M8&gt;0),N25*EPMC_P,IF(AND(Red_Sal_Rate&gt;0,Reg_EPMC=0,M8=0),(N25+N2)*EPMC_P,(N25-S3)*EPMC_P))))),2)</f>
        <v>54.55</v>
      </c>
      <c r="O37" s="88"/>
      <c r="P37" s="158"/>
      <c r="Q37" s="158"/>
      <c r="R37" s="14" t="s">
        <v>548</v>
      </c>
      <c r="S37" s="14" t="s">
        <v>554</v>
      </c>
      <c r="T37" s="21"/>
      <c r="U37" s="76">
        <v>21</v>
      </c>
      <c r="V37" s="82">
        <v>0</v>
      </c>
      <c r="X37" s="42">
        <v>9</v>
      </c>
      <c r="Y37" s="7">
        <v>317</v>
      </c>
      <c r="Z37" s="7">
        <v>0</v>
      </c>
      <c r="AA37" s="7" t="s">
        <v>174</v>
      </c>
      <c r="AB37" s="54">
        <v>1000000</v>
      </c>
      <c r="AC37" s="83">
        <v>0.1055</v>
      </c>
      <c r="AD37" s="14">
        <v>90891.3</v>
      </c>
      <c r="AL37" s="54">
        <v>1000000</v>
      </c>
      <c r="AM37" s="83">
        <v>0.103</v>
      </c>
      <c r="AN37" s="21">
        <v>88391.29</v>
      </c>
      <c r="AV37" s="54">
        <v>1000000</v>
      </c>
      <c r="AW37" s="83">
        <v>0.103</v>
      </c>
      <c r="AX37" s="21">
        <v>88391.29</v>
      </c>
      <c r="BA37" s="170">
        <v>1000000</v>
      </c>
      <c r="BB37" s="171">
        <v>0.11605</v>
      </c>
      <c r="BC37" s="172">
        <v>99980.41</v>
      </c>
      <c r="BD37" s="169"/>
      <c r="BE37" s="169"/>
    </row>
    <row r="38" spans="1:57" ht="12.75">
      <c r="A38" s="146"/>
      <c r="J38" s="87"/>
      <c r="K38" s="88"/>
      <c r="L38" s="89"/>
      <c r="M38" s="159" t="s">
        <v>702</v>
      </c>
      <c r="N38" s="159">
        <f>IF(LEFT(Ret_SM_Exl_Apply,1)="N",N24*EPMC_P,IF(AND(N24&gt;S3,LEFT(Ret_SM_Exl_Apply,1)="Y"),(N24-S3)*EPMC_P,0))</f>
        <v>0</v>
      </c>
      <c r="O38" s="88"/>
      <c r="P38" s="158"/>
      <c r="Q38" s="158"/>
      <c r="R38" s="14" t="s">
        <v>562</v>
      </c>
      <c r="S38" s="14" t="s">
        <v>180</v>
      </c>
      <c r="T38" s="21"/>
      <c r="U38" s="76" t="s">
        <v>171</v>
      </c>
      <c r="V38" s="82">
        <v>0</v>
      </c>
      <c r="X38" s="42">
        <v>10</v>
      </c>
      <c r="Y38" s="7">
        <v>317</v>
      </c>
      <c r="Z38" s="7">
        <v>0.06</v>
      </c>
      <c r="AA38" s="7" t="s">
        <v>223</v>
      </c>
      <c r="AB38" s="54">
        <v>9999999</v>
      </c>
      <c r="AC38" s="83">
        <v>0.1055</v>
      </c>
      <c r="AD38" s="14">
        <v>99999</v>
      </c>
      <c r="AL38" s="54">
        <v>9999999</v>
      </c>
      <c r="AM38" s="83">
        <v>0.103</v>
      </c>
      <c r="AN38" s="21">
        <v>99999</v>
      </c>
      <c r="AV38" s="54">
        <v>9999999</v>
      </c>
      <c r="AW38" s="83">
        <v>0.103</v>
      </c>
      <c r="AX38" s="21">
        <v>99999</v>
      </c>
      <c r="BA38" s="170">
        <v>9999999</v>
      </c>
      <c r="BB38" s="171">
        <v>0.11605</v>
      </c>
      <c r="BC38" s="172">
        <v>99999</v>
      </c>
      <c r="BD38" s="169"/>
      <c r="BE38" s="169"/>
    </row>
    <row r="39" spans="3:57" ht="12.75">
      <c r="C39" s="8" t="s">
        <v>51</v>
      </c>
      <c r="J39" s="87"/>
      <c r="K39" s="88"/>
      <c r="L39" s="89"/>
      <c r="M39" s="159" t="s">
        <v>699</v>
      </c>
      <c r="N39" s="159">
        <v>1</v>
      </c>
      <c r="O39" s="88"/>
      <c r="P39" s="158"/>
      <c r="Q39" s="158"/>
      <c r="R39" s="14" t="s">
        <v>563</v>
      </c>
      <c r="S39" s="14" t="s">
        <v>180</v>
      </c>
      <c r="T39" s="21"/>
      <c r="U39" s="76" t="s">
        <v>172</v>
      </c>
      <c r="V39" s="82">
        <v>0</v>
      </c>
      <c r="X39" s="42">
        <v>11</v>
      </c>
      <c r="Y39" s="7">
        <v>317</v>
      </c>
      <c r="Z39" s="7">
        <v>0</v>
      </c>
      <c r="AA39" s="7" t="s">
        <v>223</v>
      </c>
      <c r="AB39" s="54">
        <v>9999999</v>
      </c>
      <c r="AC39" s="83">
        <v>0.1055</v>
      </c>
      <c r="AD39" s="14">
        <v>99999</v>
      </c>
      <c r="AL39" s="54">
        <v>9999999</v>
      </c>
      <c r="AM39" s="83">
        <v>0.103</v>
      </c>
      <c r="AN39" s="21">
        <v>99999</v>
      </c>
      <c r="AV39" s="54">
        <v>9999999</v>
      </c>
      <c r="AW39" s="83">
        <v>0.103</v>
      </c>
      <c r="AX39" s="21">
        <v>99999</v>
      </c>
      <c r="BA39" s="170">
        <v>9999999</v>
      </c>
      <c r="BB39" s="171">
        <v>0.11605</v>
      </c>
      <c r="BC39" s="172">
        <v>99999</v>
      </c>
      <c r="BD39" s="169"/>
      <c r="BE39" s="169"/>
    </row>
    <row r="40" spans="10:57" ht="12.75">
      <c r="J40" s="87"/>
      <c r="K40" s="88"/>
      <c r="L40" s="89"/>
      <c r="M40" s="159"/>
      <c r="N40" s="159"/>
      <c r="O40" s="88"/>
      <c r="P40" s="158"/>
      <c r="Q40" s="158"/>
      <c r="R40" s="14" t="s">
        <v>549</v>
      </c>
      <c r="S40" s="14" t="s">
        <v>554</v>
      </c>
      <c r="T40" s="21"/>
      <c r="U40" s="147" t="s">
        <v>170</v>
      </c>
      <c r="V40" s="82">
        <v>0</v>
      </c>
      <c r="X40" s="42">
        <v>12</v>
      </c>
      <c r="Y40" s="7">
        <v>317</v>
      </c>
      <c r="Z40" s="7">
        <v>0.06</v>
      </c>
      <c r="AA40" s="7" t="s">
        <v>174</v>
      </c>
      <c r="AB40" s="54">
        <v>9999999</v>
      </c>
      <c r="AC40" s="83">
        <v>0.1055</v>
      </c>
      <c r="AD40" s="14">
        <v>99999</v>
      </c>
      <c r="AL40" s="54">
        <v>9999999</v>
      </c>
      <c r="AM40" s="83">
        <v>0.103</v>
      </c>
      <c r="AN40" s="21">
        <v>99999</v>
      </c>
      <c r="AV40" s="54">
        <v>9999999</v>
      </c>
      <c r="AW40" s="83">
        <v>0.103</v>
      </c>
      <c r="AX40" s="21">
        <v>99999</v>
      </c>
      <c r="BA40" s="170">
        <v>9999999</v>
      </c>
      <c r="BB40" s="171">
        <v>0.11605</v>
      </c>
      <c r="BC40" s="172">
        <v>99999</v>
      </c>
      <c r="BD40" s="169"/>
      <c r="BE40" s="169"/>
    </row>
    <row r="41" spans="1:57" ht="15">
      <c r="A41" s="2" t="s">
        <v>637</v>
      </c>
      <c r="J41" s="87"/>
      <c r="K41" s="88"/>
      <c r="L41" s="89"/>
      <c r="M41" s="159"/>
      <c r="N41" s="159"/>
      <c r="O41" s="88"/>
      <c r="P41" s="158"/>
      <c r="Q41" s="158"/>
      <c r="R41" s="14" t="s">
        <v>550</v>
      </c>
      <c r="S41" s="14" t="s">
        <v>554</v>
      </c>
      <c r="T41" s="21"/>
      <c r="U41" s="48"/>
      <c r="V41" s="148"/>
      <c r="X41" s="42">
        <v>13</v>
      </c>
      <c r="Y41" s="7">
        <v>0</v>
      </c>
      <c r="Z41" s="7">
        <v>0</v>
      </c>
      <c r="AA41" s="7" t="s">
        <v>174</v>
      </c>
      <c r="AB41" s="54">
        <v>9999999</v>
      </c>
      <c r="AC41" s="83">
        <v>0.1055</v>
      </c>
      <c r="AD41" s="14">
        <v>99999</v>
      </c>
      <c r="AL41" s="54">
        <v>9999999</v>
      </c>
      <c r="AM41" s="83">
        <v>0.103</v>
      </c>
      <c r="AN41" s="21">
        <v>99999</v>
      </c>
      <c r="AV41" s="54">
        <v>9999999</v>
      </c>
      <c r="AW41" s="83">
        <v>0.103</v>
      </c>
      <c r="AX41" s="21">
        <v>99999</v>
      </c>
      <c r="BA41" s="170">
        <v>9999999</v>
      </c>
      <c r="BB41" s="171">
        <v>0.11605</v>
      </c>
      <c r="BC41" s="172">
        <v>99999</v>
      </c>
      <c r="BD41" s="169"/>
      <c r="BE41" s="169"/>
    </row>
    <row r="42" spans="1:57" ht="15">
      <c r="A42" s="2" t="s">
        <v>656</v>
      </c>
      <c r="J42" s="87"/>
      <c r="K42" s="88"/>
      <c r="L42" s="89"/>
      <c r="M42" s="159"/>
      <c r="N42" s="159"/>
      <c r="O42" s="88"/>
      <c r="P42" s="158"/>
      <c r="Q42" s="158"/>
      <c r="R42" s="14" t="s">
        <v>564</v>
      </c>
      <c r="S42" s="14" t="s">
        <v>180</v>
      </c>
      <c r="V42" s="148"/>
      <c r="X42" s="42">
        <v>14</v>
      </c>
      <c r="Y42" s="7">
        <v>0</v>
      </c>
      <c r="Z42" s="7">
        <v>0</v>
      </c>
      <c r="AA42" s="7" t="s">
        <v>223</v>
      </c>
      <c r="AD42" s="14"/>
      <c r="BA42" s="169"/>
      <c r="BB42" s="169"/>
      <c r="BC42" s="169"/>
      <c r="BD42" s="169"/>
      <c r="BE42" s="169"/>
    </row>
    <row r="43" spans="1:57" ht="15">
      <c r="A43" s="2" t="s">
        <v>601</v>
      </c>
      <c r="C43" s="9"/>
      <c r="J43" s="87"/>
      <c r="K43" s="88"/>
      <c r="L43" s="89"/>
      <c r="M43" s="159"/>
      <c r="N43" s="159"/>
      <c r="O43" s="88"/>
      <c r="P43" s="158"/>
      <c r="Q43" s="158"/>
      <c r="R43" s="14" t="s">
        <v>553</v>
      </c>
      <c r="S43" s="14" t="s">
        <v>554</v>
      </c>
      <c r="V43" s="148"/>
      <c r="X43" s="42">
        <v>15</v>
      </c>
      <c r="Y43" s="7">
        <v>238</v>
      </c>
      <c r="Z43" s="7">
        <v>0.06</v>
      </c>
      <c r="AA43" s="7" t="s">
        <v>223</v>
      </c>
      <c r="AB43" s="9" t="s">
        <v>68</v>
      </c>
      <c r="AD43" s="14"/>
      <c r="AL43" s="9" t="s">
        <v>68</v>
      </c>
      <c r="AV43" s="9" t="s">
        <v>68</v>
      </c>
      <c r="BA43" s="168" t="s">
        <v>68</v>
      </c>
      <c r="BB43" s="169"/>
      <c r="BC43" s="169"/>
      <c r="BD43" s="169"/>
      <c r="BE43" s="169"/>
    </row>
    <row r="44" spans="1:57" ht="15">
      <c r="A44" s="2" t="s">
        <v>602</v>
      </c>
      <c r="C44" s="9"/>
      <c r="J44" s="87"/>
      <c r="K44" s="88"/>
      <c r="L44" s="89"/>
      <c r="M44" s="159"/>
      <c r="N44" s="159"/>
      <c r="O44" s="88"/>
      <c r="P44" s="158"/>
      <c r="Q44" s="158"/>
      <c r="R44" s="14" t="s">
        <v>565</v>
      </c>
      <c r="S44" s="14" t="s">
        <v>180</v>
      </c>
      <c r="V44" s="148"/>
      <c r="X44" s="42">
        <v>16</v>
      </c>
      <c r="Y44" s="7">
        <v>238</v>
      </c>
      <c r="Z44" s="7">
        <v>0.06</v>
      </c>
      <c r="AA44" s="7" t="s">
        <v>223</v>
      </c>
      <c r="AB44" s="9" t="s">
        <v>12</v>
      </c>
      <c r="AC44" s="9" t="s">
        <v>13</v>
      </c>
      <c r="AD44" s="97" t="s">
        <v>14</v>
      </c>
      <c r="AL44" s="9" t="s">
        <v>12</v>
      </c>
      <c r="AM44" s="9" t="s">
        <v>13</v>
      </c>
      <c r="AN44" s="9" t="s">
        <v>14</v>
      </c>
      <c r="AV44" s="9" t="s">
        <v>12</v>
      </c>
      <c r="AW44" s="9" t="s">
        <v>13</v>
      </c>
      <c r="AX44" s="9" t="s">
        <v>14</v>
      </c>
      <c r="BA44" s="168" t="s">
        <v>12</v>
      </c>
      <c r="BB44" s="168" t="s">
        <v>13</v>
      </c>
      <c r="BC44" s="168" t="s">
        <v>14</v>
      </c>
      <c r="BD44" s="169"/>
      <c r="BE44" s="169"/>
    </row>
    <row r="45" spans="1:57" ht="15">
      <c r="A45" s="2"/>
      <c r="J45" s="87"/>
      <c r="K45" s="88">
        <f>+TG6</f>
        <v>2789.291</v>
      </c>
      <c r="L45" s="89"/>
      <c r="M45" s="159"/>
      <c r="N45" s="159"/>
      <c r="O45" s="88"/>
      <c r="P45" s="158"/>
      <c r="Q45" s="158"/>
      <c r="R45" s="14" t="s">
        <v>566</v>
      </c>
      <c r="S45" s="14" t="s">
        <v>180</v>
      </c>
      <c r="V45" s="148"/>
      <c r="X45" s="42">
        <v>17</v>
      </c>
      <c r="Y45" s="7">
        <v>317</v>
      </c>
      <c r="Z45" s="7">
        <v>0.06</v>
      </c>
      <c r="AA45" s="7" t="s">
        <v>174</v>
      </c>
      <c r="AB45" s="54">
        <v>0</v>
      </c>
      <c r="AC45" s="83">
        <v>0.0125</v>
      </c>
      <c r="AD45" s="14">
        <v>0</v>
      </c>
      <c r="AL45" s="54">
        <v>0</v>
      </c>
      <c r="AM45" s="83">
        <v>0.01</v>
      </c>
      <c r="AN45" s="21">
        <v>0</v>
      </c>
      <c r="AV45" s="54">
        <v>0</v>
      </c>
      <c r="AW45" s="83">
        <v>0.01</v>
      </c>
      <c r="AX45" s="21">
        <v>0</v>
      </c>
      <c r="BA45" s="170">
        <v>0</v>
      </c>
      <c r="BB45" s="171">
        <v>0.01375</v>
      </c>
      <c r="BC45" s="172">
        <v>0</v>
      </c>
      <c r="BD45" s="169"/>
      <c r="BE45" s="169"/>
    </row>
    <row r="46" spans="1:57" ht="15">
      <c r="A46" s="6" t="s">
        <v>61</v>
      </c>
      <c r="J46" s="87"/>
      <c r="K46" s="88"/>
      <c r="L46" s="89"/>
      <c r="M46" s="159"/>
      <c r="N46" s="159"/>
      <c r="O46" s="88"/>
      <c r="P46" s="158"/>
      <c r="Q46" s="158"/>
      <c r="R46" s="14" t="s">
        <v>551</v>
      </c>
      <c r="S46" s="14" t="s">
        <v>554</v>
      </c>
      <c r="V46" s="148"/>
      <c r="X46" s="42">
        <v>18</v>
      </c>
      <c r="Y46" s="7">
        <v>317</v>
      </c>
      <c r="Z46" s="7">
        <v>0.06</v>
      </c>
      <c r="AA46" s="7" t="s">
        <v>223</v>
      </c>
      <c r="AB46" s="54">
        <v>14345</v>
      </c>
      <c r="AC46" s="83">
        <v>0.0225</v>
      </c>
      <c r="AD46" s="14">
        <v>179.31</v>
      </c>
      <c r="AL46" s="54">
        <v>14345</v>
      </c>
      <c r="AM46" s="83">
        <v>0.02</v>
      </c>
      <c r="AN46" s="21">
        <v>143.45</v>
      </c>
      <c r="AV46" s="54">
        <v>14345</v>
      </c>
      <c r="AW46" s="83">
        <v>0.02</v>
      </c>
      <c r="AX46" s="21">
        <v>143.45</v>
      </c>
      <c r="BA46" s="170">
        <v>14345</v>
      </c>
      <c r="BB46" s="171">
        <v>0.02475</v>
      </c>
      <c r="BC46" s="172">
        <v>197.24</v>
      </c>
      <c r="BD46" s="169"/>
      <c r="BE46" s="169"/>
    </row>
    <row r="47" spans="1:57" ht="15">
      <c r="A47" s="2"/>
      <c r="J47" s="178" t="s">
        <v>619</v>
      </c>
      <c r="K47" s="178"/>
      <c r="L47" s="89"/>
      <c r="M47" s="177" t="s">
        <v>323</v>
      </c>
      <c r="N47" s="177"/>
      <c r="O47" s="88"/>
      <c r="P47" s="177" t="s">
        <v>322</v>
      </c>
      <c r="Q47" s="177"/>
      <c r="R47" s="14" t="s">
        <v>552</v>
      </c>
      <c r="S47" s="14" t="s">
        <v>554</v>
      </c>
      <c r="V47" s="148"/>
      <c r="X47" s="42">
        <v>19</v>
      </c>
      <c r="Y47" s="7">
        <v>317</v>
      </c>
      <c r="Z47" s="7">
        <v>0.06</v>
      </c>
      <c r="AA47" s="7" t="s">
        <v>174</v>
      </c>
      <c r="AB47" s="54">
        <v>33989</v>
      </c>
      <c r="AC47" s="83">
        <v>0.0425</v>
      </c>
      <c r="AD47" s="14">
        <v>621.3</v>
      </c>
      <c r="AL47" s="54">
        <v>33989</v>
      </c>
      <c r="AM47" s="83">
        <v>0.04</v>
      </c>
      <c r="AN47" s="21">
        <v>536.33</v>
      </c>
      <c r="AV47" s="54">
        <v>33989</v>
      </c>
      <c r="AW47" s="83">
        <v>0.04</v>
      </c>
      <c r="AX47" s="21">
        <v>536.33</v>
      </c>
      <c r="BA47" s="170">
        <v>33989</v>
      </c>
      <c r="BB47" s="171">
        <v>0.04675</v>
      </c>
      <c r="BC47" s="172">
        <v>683.43</v>
      </c>
      <c r="BD47" s="169"/>
      <c r="BE47" s="169"/>
    </row>
    <row r="48" spans="1:57" ht="15">
      <c r="A48" s="154" t="s">
        <v>643</v>
      </c>
      <c r="J48" s="87" t="s">
        <v>31</v>
      </c>
      <c r="K48" s="70">
        <f>Gross_Net-EPMC</f>
        <v>3825.65</v>
      </c>
      <c r="L48" s="85"/>
      <c r="M48" s="92" t="s">
        <v>333</v>
      </c>
      <c r="N48" s="70">
        <f>ROUND(Gross_Net-EPMC,2)</f>
        <v>3825.65</v>
      </c>
      <c r="O48" s="70"/>
      <c r="P48" s="93" t="s">
        <v>466</v>
      </c>
      <c r="Q48" s="70">
        <f>ROUND(Gross_Net-EPMC,2)</f>
        <v>3825.65</v>
      </c>
      <c r="R48" s="70" t="s">
        <v>328</v>
      </c>
      <c r="V48" s="148"/>
      <c r="W48" s="20"/>
      <c r="X48" s="42" t="s">
        <v>225</v>
      </c>
      <c r="Y48" s="7">
        <v>317</v>
      </c>
      <c r="Z48" s="7">
        <v>0.07</v>
      </c>
      <c r="AA48" s="7" t="s">
        <v>223</v>
      </c>
      <c r="AB48" s="54">
        <v>43814</v>
      </c>
      <c r="AC48" s="83">
        <v>0.0625</v>
      </c>
      <c r="AD48" s="14">
        <v>1038.86</v>
      </c>
      <c r="AL48" s="54">
        <v>43814</v>
      </c>
      <c r="AM48" s="83">
        <v>0.06</v>
      </c>
      <c r="AN48" s="21">
        <v>929.33</v>
      </c>
      <c r="AV48" s="54">
        <v>43814</v>
      </c>
      <c r="AW48" s="83">
        <v>0.06</v>
      </c>
      <c r="AX48" s="21">
        <v>929.33</v>
      </c>
      <c r="BA48" s="170">
        <v>43814</v>
      </c>
      <c r="BB48" s="171">
        <v>0.06875</v>
      </c>
      <c r="BC48" s="172">
        <v>1142.75</v>
      </c>
      <c r="BD48" s="169"/>
      <c r="BE48" s="169"/>
    </row>
    <row r="49" spans="1:57" ht="15">
      <c r="A49" s="3" t="s">
        <v>644</v>
      </c>
      <c r="J49" s="87" t="s">
        <v>32</v>
      </c>
      <c r="K49" s="70">
        <f>ROUND(Reg_Net_Grs-Reg_EPMC,2)</f>
        <v>1752.92</v>
      </c>
      <c r="L49" s="85"/>
      <c r="M49" s="92" t="s">
        <v>341</v>
      </c>
      <c r="N49" s="70">
        <f>(Reg_Net_Grs-Reg_EPMC)</f>
        <v>1752.9209090909092</v>
      </c>
      <c r="O49" s="70"/>
      <c r="P49" s="93" t="s">
        <v>450</v>
      </c>
      <c r="Q49" s="70">
        <f>(Reg_Net_Grs-Reg_EPMC)</f>
        <v>1752.9209090909092</v>
      </c>
      <c r="R49" s="70" t="s">
        <v>329</v>
      </c>
      <c r="V49" s="148"/>
      <c r="W49" s="20"/>
      <c r="X49" s="42">
        <v>20</v>
      </c>
      <c r="Y49" s="7">
        <v>317</v>
      </c>
      <c r="Z49" s="7">
        <v>0.06</v>
      </c>
      <c r="AA49" s="7" t="s">
        <v>174</v>
      </c>
      <c r="AB49" s="54">
        <v>54225</v>
      </c>
      <c r="AC49" s="83">
        <v>0.0825</v>
      </c>
      <c r="AD49" s="14">
        <v>1689.55</v>
      </c>
      <c r="AL49" s="54">
        <v>54225</v>
      </c>
      <c r="AM49" s="83">
        <v>0.08</v>
      </c>
      <c r="AN49" s="21">
        <v>1553.99</v>
      </c>
      <c r="AV49" s="54">
        <v>54225</v>
      </c>
      <c r="AW49" s="83">
        <v>0.08</v>
      </c>
      <c r="AX49" s="21">
        <v>1553.99</v>
      </c>
      <c r="BA49" s="170">
        <v>54225</v>
      </c>
      <c r="BB49" s="171">
        <v>0.09075</v>
      </c>
      <c r="BC49" s="172">
        <v>1858.51</v>
      </c>
      <c r="BD49" s="169"/>
      <c r="BE49" s="169"/>
    </row>
    <row r="50" spans="1:57" ht="15">
      <c r="A50" s="3"/>
      <c r="J50" s="9" t="s">
        <v>33</v>
      </c>
      <c r="K50" s="14">
        <f>ROUND((Reg_Net_Grs+IDL_Full)-M11,2)</f>
        <v>2789.29</v>
      </c>
      <c r="L50" s="21"/>
      <c r="M50" s="97" t="s">
        <v>350</v>
      </c>
      <c r="N50" s="14">
        <f>(Reg_Net_Grs+IDL_Full)-M11</f>
        <v>2789.2909090909093</v>
      </c>
      <c r="P50" s="98" t="s">
        <v>434</v>
      </c>
      <c r="Q50" s="14">
        <f>(Reg_Net_Grs+IDL_Full)-M11</f>
        <v>2789.2909090909093</v>
      </c>
      <c r="R50" s="14" t="s">
        <v>330</v>
      </c>
      <c r="V50" s="148"/>
      <c r="W50" s="20"/>
      <c r="X50" s="42">
        <v>21</v>
      </c>
      <c r="Y50" s="7">
        <v>0</v>
      </c>
      <c r="Z50" s="7">
        <v>0</v>
      </c>
      <c r="AA50" s="7" t="s">
        <v>174</v>
      </c>
      <c r="AB50" s="54">
        <v>64050</v>
      </c>
      <c r="AC50" s="83">
        <v>0.0955</v>
      </c>
      <c r="AD50" s="14">
        <v>2500.11</v>
      </c>
      <c r="AL50" s="54">
        <v>64050</v>
      </c>
      <c r="AM50" s="83">
        <v>0.093</v>
      </c>
      <c r="AN50" s="21">
        <v>2339.99</v>
      </c>
      <c r="AV50" s="54">
        <v>64050</v>
      </c>
      <c r="AW50" s="83">
        <v>0.093</v>
      </c>
      <c r="AX50" s="21">
        <v>2339.99</v>
      </c>
      <c r="BA50" s="170">
        <v>64050</v>
      </c>
      <c r="BB50" s="171">
        <v>0.10505</v>
      </c>
      <c r="BC50" s="172">
        <v>2750.13</v>
      </c>
      <c r="BD50" s="169"/>
      <c r="BE50" s="169"/>
    </row>
    <row r="51" spans="1:57" ht="15">
      <c r="A51" s="3" t="s">
        <v>569</v>
      </c>
      <c r="J51" s="9" t="s">
        <v>35</v>
      </c>
      <c r="K51" s="70">
        <f>Gross_Net-EPMC</f>
        <v>3825.65</v>
      </c>
      <c r="L51" s="21"/>
      <c r="M51" s="97" t="s">
        <v>359</v>
      </c>
      <c r="N51" s="14">
        <f>Salary_Rate</f>
        <v>4000</v>
      </c>
      <c r="P51" s="98" t="s">
        <v>418</v>
      </c>
      <c r="Q51" s="14">
        <f>Salary_Rate</f>
        <v>4000</v>
      </c>
      <c r="R51" s="14" t="s">
        <v>331</v>
      </c>
      <c r="V51" s="148"/>
      <c r="X51" s="42">
        <v>22</v>
      </c>
      <c r="Y51" s="7">
        <v>0</v>
      </c>
      <c r="Z51" s="7">
        <v>0</v>
      </c>
      <c r="AA51" s="7" t="s">
        <v>174</v>
      </c>
      <c r="AB51" s="54">
        <v>1000000</v>
      </c>
      <c r="AC51" s="83">
        <v>0.1055</v>
      </c>
      <c r="AD51" s="14">
        <v>91883.34</v>
      </c>
      <c r="AL51" s="54">
        <v>1000000</v>
      </c>
      <c r="AM51" s="83">
        <v>0.103</v>
      </c>
      <c r="AN51" s="21">
        <v>89383.34</v>
      </c>
      <c r="AV51" s="54">
        <v>1000000</v>
      </c>
      <c r="AW51" s="83">
        <v>0.103</v>
      </c>
      <c r="AX51" s="21">
        <v>89383.34</v>
      </c>
      <c r="BA51" s="170">
        <v>1000000</v>
      </c>
      <c r="BB51" s="171">
        <v>0.11605</v>
      </c>
      <c r="BC51" s="172">
        <v>101071.68</v>
      </c>
      <c r="BD51" s="169"/>
      <c r="BE51" s="169"/>
    </row>
    <row r="52" spans="1:57" ht="15">
      <c r="A52" s="3" t="s">
        <v>657</v>
      </c>
      <c r="J52" s="9" t="s">
        <v>37</v>
      </c>
      <c r="K52" s="70">
        <f>ROUND(Reg_Net_Grs-Reg_EPMC,2)</f>
        <v>1752.92</v>
      </c>
      <c r="L52" s="21"/>
      <c r="M52" s="97" t="s">
        <v>368</v>
      </c>
      <c r="N52" s="14">
        <f>Salary_Rate</f>
        <v>4000</v>
      </c>
      <c r="P52" s="98" t="s">
        <v>402</v>
      </c>
      <c r="Q52" s="14">
        <f>Salary_Rate</f>
        <v>4000</v>
      </c>
      <c r="R52" s="14" t="s">
        <v>331</v>
      </c>
      <c r="V52" s="148"/>
      <c r="X52" s="42">
        <v>23</v>
      </c>
      <c r="Y52" s="7">
        <v>317</v>
      </c>
      <c r="Z52" s="7">
        <v>0.06</v>
      </c>
      <c r="AA52" s="7" t="s">
        <v>174</v>
      </c>
      <c r="AB52" s="54">
        <v>9999999</v>
      </c>
      <c r="AC52" s="83">
        <v>0.1055</v>
      </c>
      <c r="AD52" s="14">
        <v>99999</v>
      </c>
      <c r="AL52" s="54">
        <v>9999999</v>
      </c>
      <c r="AM52" s="83">
        <v>0.103</v>
      </c>
      <c r="AN52" s="21">
        <v>99999</v>
      </c>
      <c r="AV52" s="54">
        <v>9999999</v>
      </c>
      <c r="AW52" s="83">
        <v>0.103</v>
      </c>
      <c r="AX52" s="21">
        <v>99999</v>
      </c>
      <c r="BA52" s="170">
        <v>9999999</v>
      </c>
      <c r="BB52" s="171">
        <v>0.11605</v>
      </c>
      <c r="BC52" s="172">
        <v>99999</v>
      </c>
      <c r="BD52" s="169"/>
      <c r="BE52" s="169"/>
    </row>
    <row r="53" spans="1:57" ht="15">
      <c r="A53" s="3" t="s">
        <v>638</v>
      </c>
      <c r="J53" s="9" t="s">
        <v>40</v>
      </c>
      <c r="K53" s="14">
        <f>ROUND((Reg_Net_Grs+IDL_Full)-M11,3)</f>
        <v>2789.291</v>
      </c>
      <c r="L53" s="21"/>
      <c r="M53" s="97" t="s">
        <v>377</v>
      </c>
      <c r="N53" s="14">
        <f>Salary_Rate</f>
        <v>4000</v>
      </c>
      <c r="P53" s="98" t="s">
        <v>386</v>
      </c>
      <c r="Q53" s="14">
        <f>Salary_Rate</f>
        <v>4000</v>
      </c>
      <c r="R53" s="14" t="s">
        <v>331</v>
      </c>
      <c r="V53" s="148"/>
      <c r="X53" s="42">
        <v>24</v>
      </c>
      <c r="Y53" s="7">
        <v>513</v>
      </c>
      <c r="Z53" s="7">
        <v>0</v>
      </c>
      <c r="AA53" s="7" t="s">
        <v>224</v>
      </c>
      <c r="AB53" s="54">
        <v>9999999</v>
      </c>
      <c r="AC53" s="83">
        <v>0.1055</v>
      </c>
      <c r="AD53" s="14">
        <v>99999</v>
      </c>
      <c r="AL53" s="54">
        <v>9999999</v>
      </c>
      <c r="AM53" s="83">
        <v>0.103</v>
      </c>
      <c r="AN53" s="21">
        <v>99999</v>
      </c>
      <c r="AV53" s="54">
        <v>9999999</v>
      </c>
      <c r="AW53" s="83">
        <v>0.103</v>
      </c>
      <c r="AX53" s="21">
        <v>99999</v>
      </c>
      <c r="BA53" s="170">
        <v>9999999</v>
      </c>
      <c r="BB53" s="171">
        <v>0.11605</v>
      </c>
      <c r="BC53" s="172">
        <v>99999</v>
      </c>
      <c r="BD53" s="169"/>
      <c r="BE53" s="169"/>
    </row>
    <row r="54" spans="1:57" ht="15">
      <c r="A54" s="3" t="s">
        <v>570</v>
      </c>
      <c r="K54" s="70">
        <f>ROUNDDOWN(Reg_Net_Grs,6)</f>
        <v>1818.18</v>
      </c>
      <c r="Q54" s="70"/>
      <c r="S54" s="14" t="s">
        <v>310</v>
      </c>
      <c r="U54" s="48"/>
      <c r="V54" s="148"/>
      <c r="X54" s="42">
        <v>25</v>
      </c>
      <c r="Y54" s="7">
        <v>513</v>
      </c>
      <c r="Z54" s="7">
        <v>0</v>
      </c>
      <c r="AA54" s="7" t="s">
        <v>224</v>
      </c>
      <c r="AB54" s="54">
        <v>9999999</v>
      </c>
      <c r="AC54" s="83">
        <v>0.1055</v>
      </c>
      <c r="AD54" s="14">
        <v>99999</v>
      </c>
      <c r="AL54" s="54">
        <v>9999999</v>
      </c>
      <c r="AM54" s="83">
        <v>0.103</v>
      </c>
      <c r="AN54" s="21">
        <v>99999</v>
      </c>
      <c r="AV54" s="54">
        <v>9999999</v>
      </c>
      <c r="AW54" s="83">
        <v>0.103</v>
      </c>
      <c r="AX54" s="21">
        <v>99999</v>
      </c>
      <c r="BA54" s="170">
        <v>9999999</v>
      </c>
      <c r="BB54" s="171">
        <v>0.11605</v>
      </c>
      <c r="BC54" s="172">
        <v>99999</v>
      </c>
      <c r="BD54" s="169"/>
      <c r="BE54" s="169"/>
    </row>
    <row r="55" spans="1:57" ht="15">
      <c r="A55" s="5"/>
      <c r="J55" s="9" t="s">
        <v>41</v>
      </c>
      <c r="M55" s="97" t="s">
        <v>41</v>
      </c>
      <c r="P55" s="98" t="s">
        <v>41</v>
      </c>
      <c r="R55" s="150" t="s">
        <v>316</v>
      </c>
      <c r="S55" s="14">
        <f>IF(AND(FEDE&lt;99,STE&lt;99,S2="S"),1,IF(AND(FEDE&lt;99,STE&lt;99,S2="M"),2,IF(AND(FEDE&lt;99,STE&lt;99,S2="N"),3,IF(AND(FEDE=99,STE=99,S2="S"),4,IF(AND(FEDE=99,STE=99,S2="M"),5,IF(AND(FEDE=99,STE=99,S2="N"),6,0))))))</f>
        <v>1</v>
      </c>
      <c r="T55" s="83">
        <f>IF(S55&gt;0,VLOOKUP(S55,Mand_Hold_Factor,2),VLOOKUP(S56,Mand_Hold_Factor,2))</f>
        <v>0.6135</v>
      </c>
      <c r="X55" s="42">
        <v>30</v>
      </c>
      <c r="Y55" s="7">
        <v>317</v>
      </c>
      <c r="Z55" s="7">
        <v>0.06</v>
      </c>
      <c r="AA55" s="7" t="s">
        <v>223</v>
      </c>
      <c r="AB55" s="54">
        <v>9999999</v>
      </c>
      <c r="AC55" s="83">
        <v>0.1055</v>
      </c>
      <c r="AD55" s="14">
        <v>99999</v>
      </c>
      <c r="AL55" s="54">
        <v>9999999</v>
      </c>
      <c r="AM55" s="83">
        <v>0.103</v>
      </c>
      <c r="AN55" s="21">
        <v>99999</v>
      </c>
      <c r="AV55" s="54">
        <v>9999999</v>
      </c>
      <c r="AW55" s="83">
        <v>0.103</v>
      </c>
      <c r="AX55" s="21">
        <v>99999</v>
      </c>
      <c r="BA55" s="170">
        <v>9999999</v>
      </c>
      <c r="BB55" s="171">
        <v>0.11605</v>
      </c>
      <c r="BC55" s="172">
        <v>99999</v>
      </c>
      <c r="BD55" s="169"/>
      <c r="BE55" s="169"/>
    </row>
    <row r="56" spans="1:57" ht="15">
      <c r="A56" s="155" t="s">
        <v>645</v>
      </c>
      <c r="J56" s="9" t="s">
        <v>42</v>
      </c>
      <c r="K56" s="14">
        <f>IF(PayFreq="M",12,IF(PayFreq="S",24,26))</f>
        <v>12</v>
      </c>
      <c r="L56" s="21"/>
      <c r="M56" s="97" t="s">
        <v>42</v>
      </c>
      <c r="N56" s="14">
        <f>IF(PayFreq="M",12,IF(PayFreq="S",24,26))</f>
        <v>12</v>
      </c>
      <c r="P56" s="98" t="s">
        <v>42</v>
      </c>
      <c r="Q56" s="14">
        <f>IF(PayFreq="M",12,IF(PayFreq="S",24,26))</f>
        <v>12</v>
      </c>
      <c r="R56" s="150" t="s">
        <v>317</v>
      </c>
      <c r="S56" s="14">
        <f>IF(AND(FEDE&lt;99,STE=99,S2="S"),7,IF(AND(FEDE&lt;99,STE=99,S2="M"),8,IF(AND(FEDE&lt;99,STE=99,S2="N"),9,IF(AND(FEDE=99,STE&lt;99,S2="S"),10,IF(AND(FEDE=99,STE&lt;99,S2="M"),11,IF(AND(FEDE=99,STE&lt;99,S2="N"),12,0))))))</f>
        <v>0</v>
      </c>
      <c r="X56" s="42" t="s">
        <v>226</v>
      </c>
      <c r="Y56" s="7">
        <v>238</v>
      </c>
      <c r="Z56" s="7">
        <v>0.06</v>
      </c>
      <c r="AA56" s="7" t="s">
        <v>223</v>
      </c>
      <c r="BA56" s="169"/>
      <c r="BB56" s="169"/>
      <c r="BC56" s="169"/>
      <c r="BD56" s="169"/>
      <c r="BE56" s="169"/>
    </row>
    <row r="57" spans="1:57" ht="15">
      <c r="A57" s="5"/>
      <c r="J57" s="9" t="s">
        <v>43</v>
      </c>
      <c r="K57" s="14">
        <f>(FEDE*FEDEXMPT)</f>
        <v>0</v>
      </c>
      <c r="L57" s="21"/>
      <c r="M57" s="97" t="s">
        <v>43</v>
      </c>
      <c r="N57" s="14">
        <f>(FEDE*FEDEXMPT2)</f>
        <v>0</v>
      </c>
      <c r="P57" s="98" t="s">
        <v>43</v>
      </c>
      <c r="Q57" s="14">
        <f>(FEDE*FEDEXMPT3)</f>
        <v>0</v>
      </c>
      <c r="R57" s="14" t="s">
        <v>293</v>
      </c>
      <c r="S57" s="14">
        <v>1</v>
      </c>
      <c r="T57" s="20">
        <v>0.6135</v>
      </c>
      <c r="U57" s="7" t="s">
        <v>312</v>
      </c>
      <c r="V57" s="21"/>
      <c r="X57" s="42" t="s">
        <v>227</v>
      </c>
      <c r="Y57" s="7">
        <v>238</v>
      </c>
      <c r="Z57" s="7">
        <v>0.06</v>
      </c>
      <c r="AA57" s="7" t="s">
        <v>174</v>
      </c>
      <c r="AB57" s="9" t="s">
        <v>81</v>
      </c>
      <c r="AL57" s="9" t="s">
        <v>81</v>
      </c>
      <c r="AV57" s="9" t="s">
        <v>81</v>
      </c>
      <c r="BA57" s="168" t="s">
        <v>81</v>
      </c>
      <c r="BB57" s="169"/>
      <c r="BC57" s="169"/>
      <c r="BD57" s="169"/>
      <c r="BE57" s="169"/>
    </row>
    <row r="58" spans="1:57" ht="15">
      <c r="A58" s="155" t="s">
        <v>595</v>
      </c>
      <c r="J58" s="9" t="s">
        <v>44</v>
      </c>
      <c r="M58" s="97" t="s">
        <v>44</v>
      </c>
      <c r="P58" s="98" t="s">
        <v>44</v>
      </c>
      <c r="R58" s="14" t="s">
        <v>311</v>
      </c>
      <c r="S58" s="14">
        <v>2</v>
      </c>
      <c r="T58" s="20">
        <v>0.6755</v>
      </c>
      <c r="U58" s="7" t="s">
        <v>312</v>
      </c>
      <c r="X58" s="42" t="s">
        <v>228</v>
      </c>
      <c r="Y58" s="7">
        <v>863</v>
      </c>
      <c r="Z58" s="7">
        <v>0.08</v>
      </c>
      <c r="AA58" s="7" t="s">
        <v>223</v>
      </c>
      <c r="AB58" s="9" t="s">
        <v>83</v>
      </c>
      <c r="AC58" s="9" t="s">
        <v>84</v>
      </c>
      <c r="AL58" s="9" t="s">
        <v>83</v>
      </c>
      <c r="AM58" s="9" t="s">
        <v>84</v>
      </c>
      <c r="AV58" s="9" t="s">
        <v>83</v>
      </c>
      <c r="AW58" s="9" t="s">
        <v>84</v>
      </c>
      <c r="BA58" s="168" t="s">
        <v>83</v>
      </c>
      <c r="BB58" s="168" t="s">
        <v>84</v>
      </c>
      <c r="BC58" s="169"/>
      <c r="BD58" s="169"/>
      <c r="BE58" s="169"/>
    </row>
    <row r="59" spans="1:57" ht="15">
      <c r="A59" s="5"/>
      <c r="J59" s="9" t="s">
        <v>45</v>
      </c>
      <c r="K59" s="14">
        <f>(PAYFACT*TG1)</f>
        <v>45907.8</v>
      </c>
      <c r="L59" s="21"/>
      <c r="M59" s="97" t="s">
        <v>332</v>
      </c>
      <c r="N59" s="14">
        <f>(PAYFACT2*TG7)</f>
        <v>45907.8</v>
      </c>
      <c r="P59" s="98" t="s">
        <v>467</v>
      </c>
      <c r="Q59" s="14">
        <f>(PAYFACT*TG13)</f>
        <v>45907.8</v>
      </c>
      <c r="R59" s="14" t="s">
        <v>606</v>
      </c>
      <c r="S59" s="14">
        <v>3</v>
      </c>
      <c r="T59" s="20">
        <v>0.69</v>
      </c>
      <c r="U59" s="7" t="s">
        <v>312</v>
      </c>
      <c r="X59" s="42" t="s">
        <v>229</v>
      </c>
      <c r="Y59" s="7">
        <v>863</v>
      </c>
      <c r="Z59" s="7">
        <v>0.08</v>
      </c>
      <c r="AA59" s="7" t="s">
        <v>174</v>
      </c>
      <c r="AB59" s="9" t="s">
        <v>86</v>
      </c>
      <c r="AC59" s="7">
        <v>0</v>
      </c>
      <c r="AD59" s="7">
        <v>1</v>
      </c>
      <c r="AE59" s="7">
        <v>2</v>
      </c>
      <c r="AF59" s="42" t="s">
        <v>87</v>
      </c>
      <c r="AL59" s="9" t="s">
        <v>86</v>
      </c>
      <c r="AM59" s="7">
        <v>0</v>
      </c>
      <c r="AN59" s="7">
        <v>1</v>
      </c>
      <c r="AO59" s="7">
        <v>2</v>
      </c>
      <c r="AP59" s="42" t="s">
        <v>87</v>
      </c>
      <c r="AV59" s="9" t="s">
        <v>86</v>
      </c>
      <c r="AW59" s="7">
        <v>0</v>
      </c>
      <c r="AX59" s="7">
        <v>1</v>
      </c>
      <c r="AY59" s="7">
        <v>2</v>
      </c>
      <c r="AZ59" s="42" t="s">
        <v>87</v>
      </c>
      <c r="BA59" s="168" t="s">
        <v>86</v>
      </c>
      <c r="BB59" s="169">
        <v>0</v>
      </c>
      <c r="BC59" s="169">
        <v>1</v>
      </c>
      <c r="BD59" s="169">
        <v>2</v>
      </c>
      <c r="BE59" s="173" t="s">
        <v>87</v>
      </c>
    </row>
    <row r="60" spans="1:57" ht="15">
      <c r="A60" s="155" t="s">
        <v>596</v>
      </c>
      <c r="J60" s="9" t="s">
        <v>46</v>
      </c>
      <c r="K60" s="14">
        <f>(PAYFACT*TG2)</f>
        <v>21035.04</v>
      </c>
      <c r="L60" s="21"/>
      <c r="M60" s="97" t="s">
        <v>342</v>
      </c>
      <c r="N60" s="14">
        <f>(PAYFACT2*TG8)</f>
        <v>21035.05090909091</v>
      </c>
      <c r="P60" s="98" t="s">
        <v>451</v>
      </c>
      <c r="Q60" s="14">
        <f>(PAYFACT*TG14)</f>
        <v>21035.05090909091</v>
      </c>
      <c r="R60" s="14" t="s">
        <v>293</v>
      </c>
      <c r="S60" s="14">
        <v>4</v>
      </c>
      <c r="T60" s="20">
        <v>0.9235</v>
      </c>
      <c r="U60" s="7" t="s">
        <v>313</v>
      </c>
      <c r="X60" s="42">
        <v>40</v>
      </c>
      <c r="Y60" s="7">
        <v>317</v>
      </c>
      <c r="Z60" s="7">
        <v>0.06</v>
      </c>
      <c r="AA60" s="7" t="s">
        <v>223</v>
      </c>
      <c r="AB60" s="9" t="s">
        <v>23</v>
      </c>
      <c r="AC60" s="7">
        <v>0</v>
      </c>
      <c r="AD60" s="7">
        <v>99</v>
      </c>
      <c r="AE60" s="7">
        <v>198</v>
      </c>
      <c r="AF60" s="7">
        <v>99</v>
      </c>
      <c r="AG60" s="9" t="s">
        <v>88</v>
      </c>
      <c r="AL60" s="9" t="s">
        <v>23</v>
      </c>
      <c r="AM60" s="7">
        <v>0</v>
      </c>
      <c r="AN60" s="7">
        <v>99</v>
      </c>
      <c r="AO60" s="7">
        <v>198</v>
      </c>
      <c r="AP60" s="7">
        <v>99</v>
      </c>
      <c r="AQ60" s="9" t="s">
        <v>88</v>
      </c>
      <c r="AV60" s="9" t="s">
        <v>23</v>
      </c>
      <c r="AW60" s="7">
        <v>0</v>
      </c>
      <c r="AX60" s="7">
        <v>99</v>
      </c>
      <c r="AY60" s="7">
        <v>198</v>
      </c>
      <c r="AZ60" s="7">
        <v>99</v>
      </c>
      <c r="BA60" s="168" t="s">
        <v>23</v>
      </c>
      <c r="BB60" s="169">
        <v>0</v>
      </c>
      <c r="BC60" s="169">
        <v>108.9</v>
      </c>
      <c r="BD60" s="169">
        <v>217.8</v>
      </c>
      <c r="BE60" s="169">
        <v>108.9</v>
      </c>
    </row>
    <row r="61" spans="1:57" ht="15">
      <c r="A61" s="5" t="s">
        <v>607</v>
      </c>
      <c r="J61" s="9" t="s">
        <v>47</v>
      </c>
      <c r="K61" s="14">
        <f>(PAYFACT*TG3)</f>
        <v>33471.479999999996</v>
      </c>
      <c r="L61" s="21"/>
      <c r="M61" s="97" t="s">
        <v>351</v>
      </c>
      <c r="N61" s="14">
        <f>(PAYFACT2*TG9)</f>
        <v>33471.49090909091</v>
      </c>
      <c r="P61" s="98" t="s">
        <v>435</v>
      </c>
      <c r="Q61" s="14">
        <f>(PAYFACT*TG15)</f>
        <v>33471.49090909091</v>
      </c>
      <c r="R61" s="14" t="s">
        <v>311</v>
      </c>
      <c r="S61" s="14">
        <v>5</v>
      </c>
      <c r="T61" s="20">
        <v>0.9855</v>
      </c>
      <c r="U61" s="7" t="s">
        <v>313</v>
      </c>
      <c r="X61" s="42">
        <v>41</v>
      </c>
      <c r="Y61" s="7">
        <v>0</v>
      </c>
      <c r="Z61" s="7">
        <v>0</v>
      </c>
      <c r="AA61" s="7" t="s">
        <v>224</v>
      </c>
      <c r="AB61" s="9" t="s">
        <v>90</v>
      </c>
      <c r="AC61" s="7">
        <v>0</v>
      </c>
      <c r="AD61" s="7">
        <v>99</v>
      </c>
      <c r="AE61" s="7">
        <v>198</v>
      </c>
      <c r="AF61" s="7">
        <v>99</v>
      </c>
      <c r="AG61" s="9" t="s">
        <v>88</v>
      </c>
      <c r="AL61" s="9" t="s">
        <v>90</v>
      </c>
      <c r="AM61" s="7">
        <v>0</v>
      </c>
      <c r="AN61" s="7">
        <v>99</v>
      </c>
      <c r="AO61" s="7">
        <v>198</v>
      </c>
      <c r="AP61" s="7">
        <v>99</v>
      </c>
      <c r="AQ61" s="9" t="s">
        <v>88</v>
      </c>
      <c r="AV61" s="9" t="s">
        <v>90</v>
      </c>
      <c r="AW61" s="7">
        <v>0</v>
      </c>
      <c r="AX61" s="7">
        <v>99</v>
      </c>
      <c r="AY61" s="7">
        <v>198</v>
      </c>
      <c r="AZ61" s="7">
        <v>99</v>
      </c>
      <c r="BA61" s="168" t="s">
        <v>90</v>
      </c>
      <c r="BB61" s="169">
        <v>0</v>
      </c>
      <c r="BC61" s="169">
        <v>108.9</v>
      </c>
      <c r="BD61" s="169">
        <v>217.8</v>
      </c>
      <c r="BE61" s="169">
        <v>108.9</v>
      </c>
    </row>
    <row r="62" spans="1:27" ht="15">
      <c r="A62" s="5" t="s">
        <v>597</v>
      </c>
      <c r="J62" s="9" t="s">
        <v>48</v>
      </c>
      <c r="K62" s="14">
        <f>(PAYFACT*TG4)</f>
        <v>45907.8</v>
      </c>
      <c r="L62" s="21"/>
      <c r="M62" s="97" t="s">
        <v>360</v>
      </c>
      <c r="N62" s="14">
        <f>(PAYFACT2*TG10)</f>
        <v>48000</v>
      </c>
      <c r="P62" s="98" t="s">
        <v>419</v>
      </c>
      <c r="Q62" s="14">
        <f>(PAYFACT*TG16)</f>
        <v>48000</v>
      </c>
      <c r="R62" s="14" t="s">
        <v>606</v>
      </c>
      <c r="S62" s="14">
        <v>6</v>
      </c>
      <c r="T62" s="20">
        <v>1</v>
      </c>
      <c r="U62" s="7" t="s">
        <v>313</v>
      </c>
      <c r="X62" s="42">
        <v>42</v>
      </c>
      <c r="Y62" s="7">
        <v>317</v>
      </c>
      <c r="Z62" s="7">
        <v>0.06</v>
      </c>
      <c r="AA62" s="7" t="s">
        <v>174</v>
      </c>
    </row>
    <row r="63" spans="1:27" ht="15">
      <c r="A63" s="5"/>
      <c r="J63" s="9" t="s">
        <v>49</v>
      </c>
      <c r="K63" s="14">
        <f>(PAYFACT*TG5)</f>
        <v>21035.04</v>
      </c>
      <c r="L63" s="21"/>
      <c r="M63" s="97" t="s">
        <v>369</v>
      </c>
      <c r="N63" s="14">
        <f>(PAYFACT2*TG11)</f>
        <v>48000</v>
      </c>
      <c r="P63" s="98" t="s">
        <v>403</v>
      </c>
      <c r="Q63" s="14">
        <f>(PAYFACT*TG17)</f>
        <v>48000</v>
      </c>
      <c r="R63" s="14" t="s">
        <v>293</v>
      </c>
      <c r="S63" s="14">
        <v>7</v>
      </c>
      <c r="T63" s="20">
        <v>0.6735</v>
      </c>
      <c r="U63" s="7" t="s">
        <v>314</v>
      </c>
      <c r="X63" s="42">
        <v>43</v>
      </c>
      <c r="Y63" s="7">
        <v>513</v>
      </c>
      <c r="Z63" s="7">
        <v>0.05</v>
      </c>
      <c r="AA63" s="7" t="s">
        <v>224</v>
      </c>
    </row>
    <row r="64" spans="1:27" ht="15">
      <c r="A64" s="155" t="s">
        <v>598</v>
      </c>
      <c r="J64" s="9" t="s">
        <v>50</v>
      </c>
      <c r="K64" s="14">
        <f>(PAYFACT*TG6)</f>
        <v>33471.492</v>
      </c>
      <c r="L64" s="21"/>
      <c r="M64" s="97" t="s">
        <v>378</v>
      </c>
      <c r="N64" s="14">
        <f>(PAYFACT2*TG12)</f>
        <v>48000</v>
      </c>
      <c r="P64" s="98" t="s">
        <v>387</v>
      </c>
      <c r="Q64" s="14">
        <f>(PAYFACT*TG18)</f>
        <v>48000</v>
      </c>
      <c r="R64" s="14" t="s">
        <v>311</v>
      </c>
      <c r="S64" s="14">
        <v>8</v>
      </c>
      <c r="T64" s="20">
        <v>0.7355</v>
      </c>
      <c r="U64" s="7" t="s">
        <v>314</v>
      </c>
      <c r="X64" s="42">
        <v>44</v>
      </c>
      <c r="Y64" s="7">
        <v>0</v>
      </c>
      <c r="Z64" s="7">
        <v>0</v>
      </c>
      <c r="AA64" s="7" t="s">
        <v>224</v>
      </c>
    </row>
    <row r="65" spans="1:27" ht="15">
      <c r="A65" s="5"/>
      <c r="C65" s="9"/>
      <c r="R65" s="14" t="s">
        <v>606</v>
      </c>
      <c r="S65" s="14">
        <v>9</v>
      </c>
      <c r="T65" s="20">
        <v>0.75</v>
      </c>
      <c r="U65" s="7" t="s">
        <v>314</v>
      </c>
      <c r="X65" s="42">
        <v>45</v>
      </c>
      <c r="Y65" s="7">
        <v>513</v>
      </c>
      <c r="Z65" s="7">
        <v>0.05</v>
      </c>
      <c r="AA65" s="7" t="s">
        <v>224</v>
      </c>
    </row>
    <row r="66" spans="1:27" ht="15">
      <c r="A66" s="154" t="s">
        <v>603</v>
      </c>
      <c r="J66" s="9" t="s">
        <v>52</v>
      </c>
      <c r="M66" s="97" t="s">
        <v>52</v>
      </c>
      <c r="P66" s="98" t="s">
        <v>52</v>
      </c>
      <c r="R66" s="14" t="s">
        <v>293</v>
      </c>
      <c r="S66" s="14">
        <v>10</v>
      </c>
      <c r="T66" s="20">
        <v>0.8635</v>
      </c>
      <c r="U66" s="7" t="s">
        <v>315</v>
      </c>
      <c r="X66" s="42">
        <v>46</v>
      </c>
      <c r="Y66" s="7">
        <v>317</v>
      </c>
      <c r="Z66" s="7">
        <v>0.06</v>
      </c>
      <c r="AA66" s="7" t="s">
        <v>223</v>
      </c>
    </row>
    <row r="67" spans="1:27" ht="15">
      <c r="A67" s="154"/>
      <c r="J67" s="9" t="s">
        <v>54</v>
      </c>
      <c r="K67" s="14">
        <f>(FAN1-FEDEXM)</f>
        <v>45907.8</v>
      </c>
      <c r="L67" s="21"/>
      <c r="M67" s="97" t="s">
        <v>334</v>
      </c>
      <c r="N67" s="14">
        <f>(FAN7-FEDEXM)</f>
        <v>45907.8</v>
      </c>
      <c r="P67" s="98" t="s">
        <v>468</v>
      </c>
      <c r="Q67" s="14">
        <f>(FAN13-FEDEXM)</f>
        <v>45907.8</v>
      </c>
      <c r="R67" s="14" t="s">
        <v>311</v>
      </c>
      <c r="S67" s="14">
        <v>11</v>
      </c>
      <c r="T67" s="20">
        <v>0.9255</v>
      </c>
      <c r="U67" s="7" t="s">
        <v>315</v>
      </c>
      <c r="X67" s="42">
        <v>47</v>
      </c>
      <c r="Y67" s="7">
        <v>0</v>
      </c>
      <c r="Z67" s="7">
        <v>0</v>
      </c>
      <c r="AA67" s="7" t="s">
        <v>224</v>
      </c>
    </row>
    <row r="68" spans="1:27" ht="15">
      <c r="A68" s="156" t="s">
        <v>646</v>
      </c>
      <c r="J68" s="9" t="s">
        <v>55</v>
      </c>
      <c r="K68" s="14">
        <f>(K60-FEDEXM)</f>
        <v>21035.04</v>
      </c>
      <c r="L68" s="21"/>
      <c r="M68" s="97" t="s">
        <v>343</v>
      </c>
      <c r="N68" s="14">
        <f>(FAN8-FEDEXM2)</f>
        <v>21035.05090909091</v>
      </c>
      <c r="P68" s="98" t="s">
        <v>452</v>
      </c>
      <c r="Q68" s="14">
        <f>(Q60-FEDEXM)</f>
        <v>21035.05090909091</v>
      </c>
      <c r="R68" s="14" t="s">
        <v>606</v>
      </c>
      <c r="S68" s="14">
        <v>12</v>
      </c>
      <c r="T68" s="20">
        <v>0.94</v>
      </c>
      <c r="U68" s="7" t="s">
        <v>315</v>
      </c>
      <c r="X68" s="42">
        <v>48</v>
      </c>
      <c r="Y68" s="7">
        <v>317</v>
      </c>
      <c r="Z68" s="7">
        <v>0.06</v>
      </c>
      <c r="AA68" s="7" t="s">
        <v>174</v>
      </c>
    </row>
    <row r="69" spans="1:27" ht="15">
      <c r="A69" s="2" t="s">
        <v>647</v>
      </c>
      <c r="J69" s="9" t="s">
        <v>56</v>
      </c>
      <c r="K69" s="14">
        <f>(K61-FEDEXM)</f>
        <v>33471.479999999996</v>
      </c>
      <c r="L69" s="21"/>
      <c r="M69" s="97" t="s">
        <v>352</v>
      </c>
      <c r="N69" s="14">
        <f>(N61-FEDEXM)</f>
        <v>33471.49090909091</v>
      </c>
      <c r="P69" s="98" t="s">
        <v>436</v>
      </c>
      <c r="Q69" s="14">
        <f>(Q61-FEDEXM)</f>
        <v>33471.49090909091</v>
      </c>
      <c r="X69" s="42">
        <v>49</v>
      </c>
      <c r="Y69" s="7">
        <v>513</v>
      </c>
      <c r="Z69" s="7">
        <v>0.05</v>
      </c>
      <c r="AA69" s="7" t="s">
        <v>224</v>
      </c>
    </row>
    <row r="70" spans="1:27" ht="15">
      <c r="A70" s="2"/>
      <c r="J70" s="9" t="s">
        <v>57</v>
      </c>
      <c r="K70" s="14">
        <f>(K62-FEDEXM)</f>
        <v>45907.8</v>
      </c>
      <c r="L70" s="21"/>
      <c r="M70" s="97" t="s">
        <v>361</v>
      </c>
      <c r="N70" s="14">
        <f>(N62-FEDEXM)</f>
        <v>48000</v>
      </c>
      <c r="P70" s="98" t="s">
        <v>420</v>
      </c>
      <c r="Q70" s="14">
        <f>(Q62-FEDEXM)</f>
        <v>48000</v>
      </c>
      <c r="R70" s="14" t="s">
        <v>700</v>
      </c>
      <c r="X70" s="42" t="s">
        <v>230</v>
      </c>
      <c r="Y70" s="7">
        <v>513</v>
      </c>
      <c r="Z70" s="7">
        <v>0.05</v>
      </c>
      <c r="AA70" s="7" t="s">
        <v>224</v>
      </c>
    </row>
    <row r="71" spans="1:27" ht="15">
      <c r="A71" s="154" t="s">
        <v>608</v>
      </c>
      <c r="J71" s="9" t="s">
        <v>58</v>
      </c>
      <c r="K71" s="14">
        <f>(K63-FEDEXM)</f>
        <v>21035.04</v>
      </c>
      <c r="L71" s="21"/>
      <c r="M71" s="97" t="s">
        <v>370</v>
      </c>
      <c r="N71" s="14">
        <f>(N63-FEDEXM)</f>
        <v>48000</v>
      </c>
      <c r="P71" s="98" t="s">
        <v>404</v>
      </c>
      <c r="Q71" s="14">
        <f>(Q63-FEDEXM)</f>
        <v>48000</v>
      </c>
      <c r="S71" s="14" t="s">
        <v>310</v>
      </c>
      <c r="U71" s="48"/>
      <c r="V71" s="148"/>
      <c r="X71" s="42" t="s">
        <v>231</v>
      </c>
      <c r="Y71" s="7">
        <v>513</v>
      </c>
      <c r="Z71" s="7">
        <v>0.05</v>
      </c>
      <c r="AA71" s="7" t="s">
        <v>224</v>
      </c>
    </row>
    <row r="72" spans="1:27" ht="15">
      <c r="A72" s="2" t="s">
        <v>648</v>
      </c>
      <c r="J72" s="9" t="s">
        <v>59</v>
      </c>
      <c r="K72" s="14">
        <f>(K64-FEDEXM)</f>
        <v>33471.492</v>
      </c>
      <c r="L72" s="21"/>
      <c r="M72" s="97" t="s">
        <v>379</v>
      </c>
      <c r="N72" s="14">
        <f>(N64-FEDEXM)</f>
        <v>48000</v>
      </c>
      <c r="P72" s="98" t="s">
        <v>388</v>
      </c>
      <c r="Q72" s="14">
        <f>(Q64-FEDEXM)</f>
        <v>48000</v>
      </c>
      <c r="R72" s="150" t="s">
        <v>316</v>
      </c>
      <c r="S72" s="14">
        <f>IF(AND(FEDE&lt;99,STE&lt;99,S2="S"),1,IF(AND(FEDE&lt;99,STE&lt;99,S2="M"),2,IF(AND(FEDE&lt;99,STE&lt;99,S2="N"),3,IF(AND(FEDE=99,STE=99,S2="S"),4,IF(AND(FEDE=99,STE=99,S2="M"),5,IF(AND(FEDE=99,STE=99,S2="N"),6,0))))))</f>
        <v>1</v>
      </c>
      <c r="T72" s="83">
        <f>IF(S72&gt;0,VLOOKUP(S72,Mand_Hold_Factor2,2),VLOOKUP(S73,Mand_Hold_Factor2,2))</f>
        <v>0.6075</v>
      </c>
      <c r="X72" s="42" t="s">
        <v>232</v>
      </c>
      <c r="Y72" s="7">
        <v>317</v>
      </c>
      <c r="Z72" s="7">
        <v>0.06</v>
      </c>
      <c r="AA72" s="7" t="s">
        <v>223</v>
      </c>
    </row>
    <row r="73" spans="1:27" ht="15">
      <c r="A73" s="2" t="s">
        <v>649</v>
      </c>
      <c r="R73" s="150" t="s">
        <v>317</v>
      </c>
      <c r="S73" s="14">
        <f>IF(AND(FEDE&lt;99,STE=99,S2="S"),7,IF(AND(FEDE&lt;99,STE=99,S2="M"),8,IF(AND(FEDE&lt;99,STE=99,S2="N"),9,IF(AND(FEDE=99,STE&lt;99,S2="S"),10,IF(AND(FEDE=99,STE&lt;99,S2="M"),11,IF(AND(FEDE=99,STE&lt;99,S2="N"),12,0))))))</f>
        <v>0</v>
      </c>
      <c r="X73" s="42" t="s">
        <v>233</v>
      </c>
      <c r="Y73" s="7">
        <v>0</v>
      </c>
      <c r="Z73" s="7">
        <v>0</v>
      </c>
      <c r="AA73" s="7" t="s">
        <v>224</v>
      </c>
    </row>
    <row r="74" spans="1:27" ht="15">
      <c r="A74" s="2"/>
      <c r="J74" s="9" t="s">
        <v>60</v>
      </c>
      <c r="M74" s="97" t="s">
        <v>60</v>
      </c>
      <c r="P74" s="98" t="s">
        <v>60</v>
      </c>
      <c r="R74" s="14" t="s">
        <v>293</v>
      </c>
      <c r="S74" s="14">
        <v>1</v>
      </c>
      <c r="T74" s="20">
        <v>0.6075</v>
      </c>
      <c r="U74" s="7" t="s">
        <v>312</v>
      </c>
      <c r="V74" s="21"/>
      <c r="X74" s="42" t="s">
        <v>234</v>
      </c>
      <c r="Y74" s="7">
        <v>0</v>
      </c>
      <c r="Z74" s="7">
        <v>0</v>
      </c>
      <c r="AA74" s="7" t="s">
        <v>224</v>
      </c>
    </row>
    <row r="75" spans="1:27" ht="15">
      <c r="A75" s="154" t="s">
        <v>650</v>
      </c>
      <c r="J75" s="9" t="s">
        <v>62</v>
      </c>
      <c r="K75" s="14">
        <f>IF(OR(FEDM="S",FEDM="H"),VLOOKUP(FTG1,FTXTBLSH,1),IF(FEDM="M",VLOOKUP(FTG1,FTXTBLM,1),0))</f>
        <v>24450</v>
      </c>
      <c r="L75" s="21"/>
      <c r="M75" s="97" t="s">
        <v>335</v>
      </c>
      <c r="N75" s="14">
        <f>IF(OR(FEDM="S",FEDM="H"),VLOOKUP(FTG7,FTXTBLSH2,1),IF(FEDM="M",VLOOKUP(FTG7,FTXTBLM2,1),0))</f>
        <v>24450</v>
      </c>
      <c r="P75" s="98" t="s">
        <v>469</v>
      </c>
      <c r="Q75" s="14">
        <f>IF(OR(FEDM="S",FEDM="H"),VLOOKUP(FTG13,FTXTBLSH3,1),IF(FEDM="M",VLOOKUP(FTG13,FTXTBLM3,1),0))</f>
        <v>23950</v>
      </c>
      <c r="R75" s="14" t="s">
        <v>311</v>
      </c>
      <c r="S75" s="14">
        <v>2</v>
      </c>
      <c r="T75" s="20">
        <v>0.6695</v>
      </c>
      <c r="U75" s="7" t="s">
        <v>312</v>
      </c>
      <c r="X75" s="42" t="s">
        <v>235</v>
      </c>
      <c r="Y75" s="7">
        <v>0</v>
      </c>
      <c r="Z75" s="7">
        <v>0</v>
      </c>
      <c r="AA75" s="7" t="s">
        <v>224</v>
      </c>
    </row>
    <row r="76" spans="1:27" ht="15">
      <c r="A76" s="2" t="s">
        <v>639</v>
      </c>
      <c r="J76" s="9" t="s">
        <v>63</v>
      </c>
      <c r="K76" s="14">
        <f>IF(OR(FEDM="S",FEDM="H"),VLOOKUP(K68,FTXTBLSH,1),IF(FEDM="M",VLOOKUP(K68,FTXTBLM,1),0))</f>
        <v>15750</v>
      </c>
      <c r="L76" s="21"/>
      <c r="M76" s="97" t="s">
        <v>344</v>
      </c>
      <c r="N76" s="14">
        <f>IF(OR(FEDM="S",FEDM="H"),VLOOKUP(N68,FTXTBLSH2,1),IF(FEDM="M",VLOOKUP(N68,FTXTBLM2,1),0))</f>
        <v>15750</v>
      </c>
      <c r="P76" s="98" t="s">
        <v>453</v>
      </c>
      <c r="Q76" s="14">
        <f>IF(OR(FEDM="S",FEDM="H"),VLOOKUP(Q68,FTXTBLSH3,1),IF(FEDM="M",VLOOKUP(Q68,FTXTBLM3,1),0))</f>
        <v>8000</v>
      </c>
      <c r="R76" s="14" t="s">
        <v>606</v>
      </c>
      <c r="S76" s="14">
        <v>3</v>
      </c>
      <c r="T76" s="20">
        <v>0.684</v>
      </c>
      <c r="U76" s="7" t="s">
        <v>312</v>
      </c>
      <c r="X76" s="42" t="s">
        <v>236</v>
      </c>
      <c r="Y76" s="7">
        <v>513</v>
      </c>
      <c r="Z76" s="7">
        <v>0.06</v>
      </c>
      <c r="AA76" s="7" t="s">
        <v>224</v>
      </c>
    </row>
    <row r="77" spans="1:27" ht="15">
      <c r="A77" s="2" t="s">
        <v>571</v>
      </c>
      <c r="J77" s="9" t="s">
        <v>64</v>
      </c>
      <c r="K77" s="14">
        <f>IF(OR(FEDM="S",FEDM="H"),VLOOKUP(K69,FTXTBLSH,1),IF(FEDM="M",VLOOKUP(K69,FTXTBLM,1),0))</f>
        <v>24450</v>
      </c>
      <c r="L77" s="21"/>
      <c r="M77" s="97" t="s">
        <v>353</v>
      </c>
      <c r="N77" s="14">
        <f>IF(OR(FEDM="S",FEDM="H"),VLOOKUP(N69,FTXTBLSH,1),IF(FEDM="M",VLOOKUP(N69,FTXTBLM,1),0))</f>
        <v>24450</v>
      </c>
      <c r="P77" s="98" t="s">
        <v>437</v>
      </c>
      <c r="Q77" s="14">
        <f>IF(OR(FEDM="S",FEDM="H"),VLOOKUP(Q69,FTXTBLSH3,1),IF(FEDM="M",VLOOKUP(Q69,FTXTBLM3,1),0))</f>
        <v>23950</v>
      </c>
      <c r="R77" s="14" t="s">
        <v>293</v>
      </c>
      <c r="S77" s="14">
        <v>4</v>
      </c>
      <c r="T77" s="20">
        <v>0.9235</v>
      </c>
      <c r="U77" s="7" t="s">
        <v>313</v>
      </c>
      <c r="X77" s="42" t="s">
        <v>237</v>
      </c>
      <c r="Y77" s="7">
        <v>513</v>
      </c>
      <c r="Z77" s="7">
        <v>0.06</v>
      </c>
      <c r="AA77" s="7" t="s">
        <v>224</v>
      </c>
    </row>
    <row r="78" spans="1:27" ht="15">
      <c r="A78" s="5" t="s">
        <v>572</v>
      </c>
      <c r="J78" s="9" t="s">
        <v>65</v>
      </c>
      <c r="K78" s="14">
        <f>IF(OR(FEDM="S",FEDM="H"),VLOOKUP(K70,FTXTBLSH,1),IF(FEDM="M",VLOOKUP(K70,FTXTBLM,1),0))</f>
        <v>24450</v>
      </c>
      <c r="L78" s="21"/>
      <c r="M78" s="97" t="s">
        <v>362</v>
      </c>
      <c r="N78" s="14">
        <f>IF(OR(FEDM="S",FEDM="H"),VLOOKUP(N70,FTXTBLSH2,1),IF(FEDM="M",VLOOKUP(N70,FTXTBLM2,1),0))</f>
        <v>24450</v>
      </c>
      <c r="P78" s="98" t="s">
        <v>421</v>
      </c>
      <c r="Q78" s="14">
        <f>IF(OR(FEDM="S",FEDM="H"),VLOOKUP(Q70,FTXTBLSH3,1),IF(FEDM="M",VLOOKUP(Q70,FTXTBLM3,1),0))</f>
        <v>23950</v>
      </c>
      <c r="R78" s="14" t="s">
        <v>311</v>
      </c>
      <c r="S78" s="14">
        <v>5</v>
      </c>
      <c r="T78" s="20">
        <v>0.9855</v>
      </c>
      <c r="U78" s="7" t="s">
        <v>313</v>
      </c>
      <c r="X78" s="42" t="s">
        <v>238</v>
      </c>
      <c r="Y78" s="7">
        <v>513</v>
      </c>
      <c r="Z78" s="7">
        <v>0</v>
      </c>
      <c r="AA78" s="7" t="s">
        <v>174</v>
      </c>
    </row>
    <row r="79" spans="1:27" ht="15">
      <c r="A79" s="155"/>
      <c r="J79" s="9" t="s">
        <v>66</v>
      </c>
      <c r="K79" s="14">
        <f>IF(OR(FEDM="S",FEDM="H"),VLOOKUP(K71,FTXTBLSH,1),IF(FEDM="M",VLOOKUP(K71,FTXTBLM,1),0))</f>
        <v>15750</v>
      </c>
      <c r="L79" s="21"/>
      <c r="M79" s="97" t="s">
        <v>371</v>
      </c>
      <c r="N79" s="14">
        <f>IF(OR(FEDM="S",FEDM="H"),VLOOKUP(N71,FTXTBLSH2,1),IF(FEDM="M",VLOOKUP(N71,FTXTBLM2,1),0))</f>
        <v>24450</v>
      </c>
      <c r="P79" s="98" t="s">
        <v>405</v>
      </c>
      <c r="Q79" s="14">
        <f>IF(OR(FEDM="S",FEDM="H"),VLOOKUP(Q71,FTXTBLSH3,1),IF(FEDM="M",VLOOKUP(Q71,FTXTBLM3,1),0))</f>
        <v>23950</v>
      </c>
      <c r="R79" s="14" t="s">
        <v>606</v>
      </c>
      <c r="S79" s="14">
        <v>6</v>
      </c>
      <c r="T79" s="20">
        <v>1</v>
      </c>
      <c r="U79" s="7" t="s">
        <v>313</v>
      </c>
      <c r="X79" s="42" t="s">
        <v>239</v>
      </c>
      <c r="Y79" s="7">
        <v>317</v>
      </c>
      <c r="Z79" s="7">
        <v>0.07</v>
      </c>
      <c r="AA79" s="7" t="s">
        <v>223</v>
      </c>
    </row>
    <row r="80" spans="1:27" ht="15">
      <c r="A80" s="155" t="s">
        <v>651</v>
      </c>
      <c r="J80" s="9" t="s">
        <v>67</v>
      </c>
      <c r="K80" s="14">
        <f>IF(OR(FEDM="S",FEDM="H"),VLOOKUP(K72,FTXTBLSH,1),IF(FEDM="M",VLOOKUP(K72,FTXTBLM,1),0))</f>
        <v>24450</v>
      </c>
      <c r="L80" s="21"/>
      <c r="M80" s="97" t="s">
        <v>380</v>
      </c>
      <c r="N80" s="14">
        <f>IF(OR(FEDM="S",FEDM="H"),VLOOKUP(N72,FTXTBLSH2,1),IF(FEDM="M",VLOOKUP(N72,FTXTBLM2,1),0))</f>
        <v>24450</v>
      </c>
      <c r="P80" s="98" t="s">
        <v>389</v>
      </c>
      <c r="Q80" s="14">
        <f>IF(OR(FEDM="S",FEDM="H"),VLOOKUP(Q72,FTXTBLSH3,1),IF(FEDM="M",VLOOKUP(Q72,FTXTBLM3,1),0))</f>
        <v>23950</v>
      </c>
      <c r="R80" s="14" t="s">
        <v>293</v>
      </c>
      <c r="S80" s="14">
        <v>7</v>
      </c>
      <c r="T80" s="20">
        <v>0.6735</v>
      </c>
      <c r="U80" s="7" t="s">
        <v>314</v>
      </c>
      <c r="X80" s="42" t="s">
        <v>240</v>
      </c>
      <c r="Y80" s="7">
        <v>513</v>
      </c>
      <c r="Z80" s="7">
        <v>0.05</v>
      </c>
      <c r="AA80" s="7" t="s">
        <v>224</v>
      </c>
    </row>
    <row r="81" spans="1:27" ht="15">
      <c r="A81" s="4"/>
      <c r="R81" s="14" t="s">
        <v>311</v>
      </c>
      <c r="S81" s="14">
        <v>8</v>
      </c>
      <c r="T81" s="20">
        <v>0.7355</v>
      </c>
      <c r="U81" s="7" t="s">
        <v>314</v>
      </c>
      <c r="X81" s="42" t="s">
        <v>241</v>
      </c>
      <c r="Y81" s="7">
        <v>513</v>
      </c>
      <c r="Z81" s="7">
        <v>0.05</v>
      </c>
      <c r="AA81" s="7" t="s">
        <v>224</v>
      </c>
    </row>
    <row r="82" spans="1:27" ht="15">
      <c r="A82" s="155" t="s">
        <v>599</v>
      </c>
      <c r="J82" s="9" t="s">
        <v>69</v>
      </c>
      <c r="M82" s="97" t="s">
        <v>69</v>
      </c>
      <c r="P82" s="98" t="s">
        <v>69</v>
      </c>
      <c r="R82" s="14" t="s">
        <v>606</v>
      </c>
      <c r="S82" s="14">
        <v>9</v>
      </c>
      <c r="T82" s="20">
        <v>0.75</v>
      </c>
      <c r="U82" s="7" t="s">
        <v>314</v>
      </c>
      <c r="X82" s="42" t="s">
        <v>242</v>
      </c>
      <c r="Y82" s="7">
        <v>0</v>
      </c>
      <c r="Z82" s="7">
        <v>0</v>
      </c>
      <c r="AA82" s="7" t="s">
        <v>224</v>
      </c>
    </row>
    <row r="83" spans="1:27" ht="15">
      <c r="A83" s="5" t="s">
        <v>573</v>
      </c>
      <c r="J83" s="9" t="s">
        <v>70</v>
      </c>
      <c r="K83" s="14">
        <f>IF(OR(FEDM="S",FEDM="H"),VLOOKUP(FTG1,FTXTBLSH,2),IF(FEDM="M",VLOOKUP(FTG1,FTXTBLM,2),0))</f>
        <v>0.15</v>
      </c>
      <c r="L83" s="21"/>
      <c r="M83" s="97" t="s">
        <v>336</v>
      </c>
      <c r="N83" s="14">
        <f>IF(OR(FEDM="S",FEDM="H"),VLOOKUP(FTG1,FTXTBLSH2,2),IF(FEDM="M",VLOOKUP(FTG1,FTXTBLM2,2),0))</f>
        <v>0.15</v>
      </c>
      <c r="P83" s="98" t="s">
        <v>470</v>
      </c>
      <c r="Q83" s="14">
        <f>IF(OR(FEDM="S",FEDM="H"),VLOOKUP(FTG13,FTXTBLSH3,2),IF(FEDM="M",VLOOKUP(FTG13,FTXTBLM3,2),0))</f>
        <v>0.15</v>
      </c>
      <c r="R83" s="14" t="s">
        <v>293</v>
      </c>
      <c r="S83" s="14">
        <v>10</v>
      </c>
      <c r="T83" s="20">
        <v>0.8575</v>
      </c>
      <c r="U83" s="7" t="s">
        <v>315</v>
      </c>
      <c r="X83" s="42" t="s">
        <v>243</v>
      </c>
      <c r="Y83" s="7">
        <v>0</v>
      </c>
      <c r="Z83" s="7">
        <v>0</v>
      </c>
      <c r="AA83" s="7" t="s">
        <v>224</v>
      </c>
    </row>
    <row r="84" spans="1:27" ht="15">
      <c r="A84" s="3" t="s">
        <v>652</v>
      </c>
      <c r="J84" s="9" t="s">
        <v>71</v>
      </c>
      <c r="K84" s="14">
        <f>IF(OR(FEDM="S",FEDM="H"),VLOOKUP(K68,FTXTBLSH,2),IF(FEDM="M",VLOOKUP(K68,FTXTBLM,2),0))</f>
        <v>0.1</v>
      </c>
      <c r="L84" s="21"/>
      <c r="M84" s="97" t="s">
        <v>345</v>
      </c>
      <c r="N84" s="14">
        <f>IF(OR(FEDM="S",FEDM="H"),VLOOKUP(N68,FTXTBLSH2,2),IF(FEDM="M",VLOOKUP(N68,FTXTBLM2,2),0))</f>
        <v>0.1</v>
      </c>
      <c r="P84" s="98" t="s">
        <v>454</v>
      </c>
      <c r="Q84" s="14">
        <f>IF(OR(FEDM="S",FEDM="H"),VLOOKUP(Q68,FTXTBLSH3,2),IF(FEDM="M",VLOOKUP(Q68,FTXTBLM3,2),0))</f>
        <v>0.1</v>
      </c>
      <c r="R84" s="14" t="s">
        <v>311</v>
      </c>
      <c r="S84" s="14">
        <v>11</v>
      </c>
      <c r="T84" s="20">
        <v>0.9195</v>
      </c>
      <c r="U84" s="7" t="s">
        <v>315</v>
      </c>
      <c r="X84" s="42" t="s">
        <v>244</v>
      </c>
      <c r="Y84" s="7">
        <v>513</v>
      </c>
      <c r="Z84" s="7">
        <v>0.05</v>
      </c>
      <c r="AA84" s="7" t="s">
        <v>224</v>
      </c>
    </row>
    <row r="85" spans="1:27" ht="15">
      <c r="A85" s="2" t="s">
        <v>653</v>
      </c>
      <c r="J85" s="9" t="s">
        <v>72</v>
      </c>
      <c r="K85" s="14">
        <f>IF(OR(FEDM="S",FEDM="H"),VLOOKUP(K69,FTXTBLSH,2),IF(FEDM="M",VLOOKUP(K69,FTXTBLM,2),0))</f>
        <v>0.15</v>
      </c>
      <c r="L85" s="21"/>
      <c r="M85" s="97" t="s">
        <v>354</v>
      </c>
      <c r="N85" s="14">
        <f>IF(OR(FEDM="S",FEDM="H"),VLOOKUP(N69,FTXTBLSH2,2),IF(FEDM="M",VLOOKUP(N69,FTXTBLM2,2),0))</f>
        <v>0.15</v>
      </c>
      <c r="P85" s="98" t="s">
        <v>438</v>
      </c>
      <c r="Q85" s="14">
        <f>IF(OR(FEDM="S",FEDM="H"),VLOOKUP(Q69,FTXTBLSH3,2),IF(FEDM="M",VLOOKUP(Q69,FTXTBLM3,2),0))</f>
        <v>0.15</v>
      </c>
      <c r="R85" s="14" t="s">
        <v>606</v>
      </c>
      <c r="S85" s="14">
        <v>12</v>
      </c>
      <c r="T85" s="20">
        <v>0.934</v>
      </c>
      <c r="U85" s="7" t="s">
        <v>315</v>
      </c>
      <c r="X85" s="42" t="s">
        <v>245</v>
      </c>
      <c r="Y85" s="7">
        <v>513</v>
      </c>
      <c r="Z85" s="7">
        <v>0.05</v>
      </c>
      <c r="AA85" s="7" t="s">
        <v>224</v>
      </c>
    </row>
    <row r="86" spans="1:27" ht="15">
      <c r="A86" s="2"/>
      <c r="J86" s="9" t="s">
        <v>73</v>
      </c>
      <c r="K86" s="14">
        <f>IF(OR(FEDM="S",FEDM="H"),VLOOKUP(K70,FTXTBLSH,2),IF(FEDM="M",VLOOKUP(K70,FTXTBLM,2),0))</f>
        <v>0.15</v>
      </c>
      <c r="L86" s="21"/>
      <c r="M86" s="97" t="s">
        <v>363</v>
      </c>
      <c r="N86" s="14">
        <f>IF(OR(FEDM="S",FEDM="H"),VLOOKUP(N70,FTXTBLSH2,2),IF(FEDM="M",VLOOKUP(N70,FTXTBLM2,2),0))</f>
        <v>0.15</v>
      </c>
      <c r="P86" s="98" t="s">
        <v>422</v>
      </c>
      <c r="Q86" s="14">
        <f>IF(OR(FEDM="S",FEDM="H"),VLOOKUP(Q70,FTXTBLSH,2),IF(FEDM="M",VLOOKUP(Q70,FTXTBLM,2),0))</f>
        <v>0.15</v>
      </c>
      <c r="T86" s="21"/>
      <c r="X86" s="42" t="s">
        <v>246</v>
      </c>
      <c r="Y86" s="7">
        <v>0</v>
      </c>
      <c r="Z86" s="7">
        <v>0</v>
      </c>
      <c r="AA86" s="7" t="s">
        <v>224</v>
      </c>
    </row>
    <row r="87" spans="1:27" ht="15">
      <c r="A87" s="154" t="s">
        <v>658</v>
      </c>
      <c r="J87" s="9" t="s">
        <v>74</v>
      </c>
      <c r="K87" s="14">
        <f>IF(OR(FEDM="S",FEDM="H"),VLOOKUP(K71,FTXTBLSH,2),IF(FEDM="M",VLOOKUP(K71,FTXTBLM,2),0))</f>
        <v>0.1</v>
      </c>
      <c r="L87" s="21"/>
      <c r="M87" s="97" t="s">
        <v>372</v>
      </c>
      <c r="N87" s="14">
        <f>IF(OR(FEDM="S",FEDM="H"),VLOOKUP(N71,FTXTBLSH2,2),IF(FEDM="M",VLOOKUP(N71,FTXTBLM2,2),0))</f>
        <v>0.15</v>
      </c>
      <c r="P87" s="98" t="s">
        <v>406</v>
      </c>
      <c r="Q87" s="14">
        <f>IF(OR(FEDM="S",FEDM="H"),VLOOKUP(Q71,FTXTBLSH3,2),IF(FEDM="M",VLOOKUP(Q71,FTXTBLM3,2),0))</f>
        <v>0.15</v>
      </c>
      <c r="T87" s="21"/>
      <c r="X87" s="42">
        <v>51</v>
      </c>
      <c r="Y87" s="7">
        <v>238</v>
      </c>
      <c r="Z87" s="7">
        <v>0</v>
      </c>
      <c r="AA87" s="7" t="s">
        <v>223</v>
      </c>
    </row>
    <row r="88" spans="1:27" ht="15">
      <c r="A88" s="2" t="s">
        <v>659</v>
      </c>
      <c r="J88" s="9" t="s">
        <v>75</v>
      </c>
      <c r="K88" s="14">
        <f>IF(OR(FEDM="S",FEDM="H"),VLOOKUP(K72,FTXTBLSH,2),IF(FEDM="M",VLOOKUP(K72,FTXTBLM,2),0))</f>
        <v>0.15</v>
      </c>
      <c r="L88" s="21"/>
      <c r="M88" s="97" t="s">
        <v>381</v>
      </c>
      <c r="N88" s="14">
        <f>IF(OR(FEDM="S",FEDM="H"),VLOOKUP(N72,FTXTBLSH2,2),IF(FEDM="M",VLOOKUP(N72,FTXTBLM2,2),0))</f>
        <v>0.15</v>
      </c>
      <c r="P88" s="98" t="s">
        <v>390</v>
      </c>
      <c r="Q88" s="14">
        <f>IF(OR(FEDM="S",FEDM="H"),VLOOKUP(Q72,FTXTBLSH3,2),IF(FEDM="M",VLOOKUP(Q72,FTXTBLM3,2),0))</f>
        <v>0.15</v>
      </c>
      <c r="T88" s="21"/>
      <c r="X88" s="42">
        <v>52</v>
      </c>
      <c r="Y88" s="7">
        <v>238</v>
      </c>
      <c r="Z88" s="7">
        <v>0</v>
      </c>
      <c r="AA88" s="7" t="s">
        <v>174</v>
      </c>
    </row>
    <row r="89" spans="1:27" ht="15">
      <c r="A89" s="2"/>
      <c r="X89" s="42">
        <v>53</v>
      </c>
      <c r="Y89" s="7">
        <v>238</v>
      </c>
      <c r="Z89" s="7">
        <v>0.08</v>
      </c>
      <c r="AA89" s="7" t="s">
        <v>223</v>
      </c>
    </row>
    <row r="90" spans="1:27" ht="15">
      <c r="A90" s="154" t="s">
        <v>717</v>
      </c>
      <c r="J90" s="9" t="s">
        <v>76</v>
      </c>
      <c r="M90" s="97" t="s">
        <v>76</v>
      </c>
      <c r="P90" s="98" t="s">
        <v>76</v>
      </c>
      <c r="X90" s="42">
        <v>54</v>
      </c>
      <c r="Y90" s="7">
        <v>238</v>
      </c>
      <c r="Z90" s="7">
        <v>0.08</v>
      </c>
      <c r="AA90" s="7" t="s">
        <v>174</v>
      </c>
    </row>
    <row r="91" spans="1:27" ht="15">
      <c r="A91" s="2" t="s">
        <v>718</v>
      </c>
      <c r="J91" s="9" t="s">
        <v>77</v>
      </c>
      <c r="K91" s="14">
        <f>IF(OR(FEDM="S",FEDM="H"),VLOOKUP(FTG1,FTXTBLSH,3),IF(FEDM="M",VLOOKUP(FTG1,FTXTBLM,3),0))</f>
        <v>870</v>
      </c>
      <c r="L91" s="21"/>
      <c r="M91" s="97" t="s">
        <v>337</v>
      </c>
      <c r="N91" s="14">
        <f>IF(OR(FEDM="S",FEDM="H"),VLOOKUP(FTG1,FTXTBLSH2,3),IF(FEDM="M",VLOOKUP(FTG1,FTXTBLM2,3),0))</f>
        <v>870</v>
      </c>
      <c r="P91" s="98" t="s">
        <v>471</v>
      </c>
      <c r="Q91" s="14">
        <f>IF(OR(FEDM="S",FEDM="H"),VLOOKUP(FTG13,FTXTBLSH3,3),IF(FEDM="M",VLOOKUP(FTG13,FTXTBLM3,3),0))</f>
        <v>1595</v>
      </c>
      <c r="T91" s="21"/>
      <c r="X91" s="42">
        <v>55</v>
      </c>
      <c r="Y91" s="7">
        <v>863</v>
      </c>
      <c r="Z91" s="7">
        <v>0.08</v>
      </c>
      <c r="AA91" s="7" t="s">
        <v>223</v>
      </c>
    </row>
    <row r="92" spans="1:27" ht="15">
      <c r="A92" s="2"/>
      <c r="J92" s="9" t="s">
        <v>78</v>
      </c>
      <c r="K92" s="14">
        <f>IF(OR(FEDM="S",FEDM="H"),VLOOKUP(K68,FTXTBLSH,3),IF(FEDM="M",VLOOKUP(K68,FTXTBLM,3),0))</f>
        <v>0</v>
      </c>
      <c r="L92" s="21"/>
      <c r="M92" s="97" t="s">
        <v>346</v>
      </c>
      <c r="N92" s="14">
        <f>IF(OR(FEDM="S",FEDM="H"),VLOOKUP(N68,FTXTBLSH2,3),IF(FEDM="M",VLOOKUP(N68,FTXTBLM2,3),0))</f>
        <v>0</v>
      </c>
      <c r="P92" s="98" t="s">
        <v>455</v>
      </c>
      <c r="Q92" s="14">
        <f>IF(OR(FEDM="S",FEDM="H"),VLOOKUP(Q68,FTXTBLSH3,3),IF(FEDM="M",VLOOKUP(Q68,FTXTBLM3,3),0))</f>
        <v>0</v>
      </c>
      <c r="T92" s="21"/>
      <c r="X92" s="42">
        <v>56</v>
      </c>
      <c r="Y92" s="7">
        <v>863</v>
      </c>
      <c r="Z92" s="7">
        <v>0.08</v>
      </c>
      <c r="AA92" s="7" t="s">
        <v>174</v>
      </c>
    </row>
    <row r="93" spans="1:27" ht="15">
      <c r="A93" s="154" t="s">
        <v>704</v>
      </c>
      <c r="J93" s="9" t="s">
        <v>79</v>
      </c>
      <c r="K93" s="14">
        <f>IF(OR(FEDM="S",FEDM="H"),VLOOKUP(K69,FTXTBLSH,3),IF(FEDM="M",VLOOKUP(K69,FTXTBLM,3),0))</f>
        <v>870</v>
      </c>
      <c r="L93" s="21"/>
      <c r="M93" s="97" t="s">
        <v>355</v>
      </c>
      <c r="N93" s="14">
        <f>IF(OR(FEDM="S",FEDM="H"),VLOOKUP(N69,FTXTBLSH2,3),IF(FEDM="M",VLOOKUP(N69,FTXTBLM2,3),0))</f>
        <v>870</v>
      </c>
      <c r="P93" s="98" t="s">
        <v>439</v>
      </c>
      <c r="Q93" s="14">
        <f>IF(OR(FEDM="S",FEDM="H"),VLOOKUP(Q69,FTXTBLSH3,3),IF(FEDM="M",VLOOKUP(Q69,FTXTBLM3,3),0))</f>
        <v>1595</v>
      </c>
      <c r="T93" s="21"/>
      <c r="X93" s="42">
        <v>57</v>
      </c>
      <c r="Y93" s="7">
        <v>513</v>
      </c>
      <c r="Z93" s="7">
        <v>0.08</v>
      </c>
      <c r="AA93" s="7" t="s">
        <v>223</v>
      </c>
    </row>
    <row r="94" spans="1:27" ht="15">
      <c r="A94" s="2" t="s">
        <v>705</v>
      </c>
      <c r="B94" s="2"/>
      <c r="C94" s="2"/>
      <c r="D94" s="2"/>
      <c r="E94" s="2"/>
      <c r="F94" s="2"/>
      <c r="G94" s="2"/>
      <c r="H94" s="2"/>
      <c r="J94" s="9" t="s">
        <v>80</v>
      </c>
      <c r="K94" s="14">
        <f>IF(OR(FEDM="S",FEDM="H"),VLOOKUP(K70,FTXTBLSH,3),IF(FEDM="M",VLOOKUP(K70,FTXTBLM,3),0))</f>
        <v>870</v>
      </c>
      <c r="L94" s="21"/>
      <c r="M94" s="97" t="s">
        <v>364</v>
      </c>
      <c r="N94" s="14">
        <f>IF(OR(FEDM="S",FEDM="H"),VLOOKUP(N70,FTXTBLSH2,3),IF(FEDM="M",VLOOKUP(N70,FTXTBLM2,3),0))</f>
        <v>870</v>
      </c>
      <c r="P94" s="98" t="s">
        <v>423</v>
      </c>
      <c r="Q94" s="14">
        <f>IF(OR(FEDM="S",FEDM="H"),VLOOKUP(Q70,FTXTBLSH3,3),IF(FEDM="M",VLOOKUP(Q70,FTXTBLM3,3),0))</f>
        <v>1595</v>
      </c>
      <c r="T94" s="21"/>
      <c r="X94" s="42">
        <v>58</v>
      </c>
      <c r="Y94" s="7">
        <v>513</v>
      </c>
      <c r="Z94" s="7">
        <v>0.08</v>
      </c>
      <c r="AA94" s="7" t="s">
        <v>174</v>
      </c>
    </row>
    <row r="95" spans="1:27" ht="15">
      <c r="A95" s="2" t="s">
        <v>706</v>
      </c>
      <c r="J95" s="9" t="s">
        <v>82</v>
      </c>
      <c r="K95" s="14">
        <f>IF(OR(FEDM="S",FEDM="H"),VLOOKUP(K71,FTXTBLSH,3),IF(FEDM="M",VLOOKUP(K71,FTXTBLM,3),0))</f>
        <v>0</v>
      </c>
      <c r="L95" s="21"/>
      <c r="M95" s="97" t="s">
        <v>373</v>
      </c>
      <c r="N95" s="14">
        <f>IF(OR(FEDM="S",FEDM="H"),VLOOKUP(N71,FTXTBLSH2,3),IF(FEDM="M",VLOOKUP(N71,FTXTBLM2,3),0))</f>
        <v>870</v>
      </c>
      <c r="P95" s="98" t="s">
        <v>407</v>
      </c>
      <c r="Q95" s="14">
        <f>IF(OR(FEDM="S",FEDM="H"),VLOOKUP(Q71,FTXTBLSH3,3),IF(FEDM="M",VLOOKUP(Q71,FTXTBLM3,3),0))</f>
        <v>1595</v>
      </c>
      <c r="T95" s="21"/>
      <c r="X95" s="42" t="s">
        <v>247</v>
      </c>
      <c r="Y95" s="7">
        <v>513</v>
      </c>
      <c r="Z95" s="7">
        <v>0.06</v>
      </c>
      <c r="AA95" s="7" t="s">
        <v>223</v>
      </c>
    </row>
    <row r="96" spans="1:27" ht="15">
      <c r="A96" s="2"/>
      <c r="J96" s="9" t="s">
        <v>85</v>
      </c>
      <c r="K96" s="14">
        <f>IF(OR(FEDM="S",FEDM="H"),VLOOKUP(K72,FTXTBLSH,3),IF(FEDM="M",VLOOKUP(K72,FTXTBLM,3),0))</f>
        <v>870</v>
      </c>
      <c r="L96" s="21"/>
      <c r="M96" s="97" t="s">
        <v>382</v>
      </c>
      <c r="N96" s="14">
        <f>IF(OR(FEDM="S",FEDM="H"),VLOOKUP(N72,FTXTBLSH2,3),IF(FEDM="M",VLOOKUP(N72,FTXTBLM2,3),0))</f>
        <v>870</v>
      </c>
      <c r="P96" s="98" t="s">
        <v>391</v>
      </c>
      <c r="Q96" s="14">
        <f>IF(OR(FEDM="S",FEDM="H"),VLOOKUP(Q72,FTXTBLSH3,3),IF(FEDM="M",VLOOKUP(Q72,FTXTBLM3,3),0))</f>
        <v>1595</v>
      </c>
      <c r="T96" s="21"/>
      <c r="X96" s="42" t="s">
        <v>248</v>
      </c>
      <c r="Y96" s="7">
        <v>513</v>
      </c>
      <c r="Z96" s="7">
        <v>0.06</v>
      </c>
      <c r="AA96" s="7" t="s">
        <v>174</v>
      </c>
    </row>
    <row r="97" spans="1:27" ht="15">
      <c r="A97" s="154" t="s">
        <v>707</v>
      </c>
      <c r="X97" s="42" t="s">
        <v>249</v>
      </c>
      <c r="Y97" s="7">
        <v>513</v>
      </c>
      <c r="Z97" s="7">
        <v>0.08</v>
      </c>
      <c r="AA97" s="7" t="s">
        <v>223</v>
      </c>
    </row>
    <row r="98" spans="1:27" ht="15">
      <c r="A98" s="2" t="s">
        <v>708</v>
      </c>
      <c r="J98" s="9" t="s">
        <v>89</v>
      </c>
      <c r="M98" s="97" t="s">
        <v>89</v>
      </c>
      <c r="P98" s="98" t="s">
        <v>89</v>
      </c>
      <c r="X98" s="42" t="s">
        <v>250</v>
      </c>
      <c r="Y98" s="7">
        <v>513</v>
      </c>
      <c r="Z98" s="7">
        <v>0.08</v>
      </c>
      <c r="AA98" s="7" t="s">
        <v>174</v>
      </c>
    </row>
    <row r="99" spans="1:27" ht="15">
      <c r="A99" s="2" t="s">
        <v>709</v>
      </c>
      <c r="J99" s="9" t="s">
        <v>91</v>
      </c>
      <c r="K99" s="14">
        <f>(FTG1-FBSA1)</f>
        <v>21457.800000000003</v>
      </c>
      <c r="L99" s="21"/>
      <c r="M99" s="97" t="s">
        <v>338</v>
      </c>
      <c r="N99" s="14">
        <f>(FTG7-FBSA7)</f>
        <v>21457.800000000003</v>
      </c>
      <c r="P99" s="98" t="s">
        <v>472</v>
      </c>
      <c r="Q99" s="14">
        <f>(FTG13-FBSA13)</f>
        <v>21957.800000000003</v>
      </c>
      <c r="T99" s="21"/>
      <c r="X99" s="42" t="s">
        <v>251</v>
      </c>
      <c r="Y99" s="7">
        <v>513</v>
      </c>
      <c r="Z99" s="7">
        <v>0.08</v>
      </c>
      <c r="AA99" s="7" t="s">
        <v>223</v>
      </c>
    </row>
    <row r="100" spans="1:27" ht="15">
      <c r="A100" s="154"/>
      <c r="J100" s="9" t="s">
        <v>92</v>
      </c>
      <c r="K100" s="14">
        <f>(K68-K76)</f>
        <v>5285.040000000001</v>
      </c>
      <c r="L100" s="21"/>
      <c r="M100" s="97" t="s">
        <v>347</v>
      </c>
      <c r="N100" s="14">
        <f>(N68-N76)</f>
        <v>5285.050909090911</v>
      </c>
      <c r="P100" s="98" t="s">
        <v>456</v>
      </c>
      <c r="Q100" s="14">
        <f>(Q68-Q76)</f>
        <v>13035.05090909091</v>
      </c>
      <c r="T100" s="21"/>
      <c r="X100" s="42" t="s">
        <v>252</v>
      </c>
      <c r="Y100" s="7">
        <v>513</v>
      </c>
      <c r="Z100" s="7">
        <v>0.08</v>
      </c>
      <c r="AA100" s="7" t="s">
        <v>174</v>
      </c>
    </row>
    <row r="101" spans="1:27" ht="15">
      <c r="A101" s="154" t="s">
        <v>710</v>
      </c>
      <c r="J101" s="9" t="s">
        <v>93</v>
      </c>
      <c r="K101" s="14">
        <f>(K69-K77)</f>
        <v>9021.479999999996</v>
      </c>
      <c r="L101" s="21"/>
      <c r="M101" s="97" t="s">
        <v>356</v>
      </c>
      <c r="N101" s="14">
        <f>(N69-N77)</f>
        <v>9021.490909090913</v>
      </c>
      <c r="P101" s="98" t="s">
        <v>440</v>
      </c>
      <c r="Q101" s="14">
        <f>(Q69-Q77)</f>
        <v>9521.490909090913</v>
      </c>
      <c r="T101" s="21"/>
      <c r="X101" s="42" t="s">
        <v>253</v>
      </c>
      <c r="Y101" s="7">
        <v>513</v>
      </c>
      <c r="Z101" s="7">
        <v>0.08</v>
      </c>
      <c r="AA101" s="7" t="s">
        <v>223</v>
      </c>
    </row>
    <row r="102" spans="1:27" ht="15">
      <c r="A102" s="2" t="s">
        <v>711</v>
      </c>
      <c r="J102" s="9" t="s">
        <v>94</v>
      </c>
      <c r="K102" s="14">
        <f>(K70-K78)</f>
        <v>21457.800000000003</v>
      </c>
      <c r="L102" s="21"/>
      <c r="M102" s="97" t="s">
        <v>365</v>
      </c>
      <c r="N102" s="14">
        <f>(N70-N78)</f>
        <v>23550</v>
      </c>
      <c r="P102" s="98" t="s">
        <v>424</v>
      </c>
      <c r="Q102" s="14">
        <f>(Q70-Q78)</f>
        <v>24050</v>
      </c>
      <c r="T102" s="21"/>
      <c r="X102" s="42" t="s">
        <v>254</v>
      </c>
      <c r="Y102" s="7">
        <v>513</v>
      </c>
      <c r="Z102" s="7">
        <v>0.08</v>
      </c>
      <c r="AA102" s="7" t="s">
        <v>174</v>
      </c>
    </row>
    <row r="103" spans="1:27" ht="15">
      <c r="A103" s="2" t="s">
        <v>712</v>
      </c>
      <c r="J103" s="9" t="s">
        <v>95</v>
      </c>
      <c r="K103" s="14">
        <f>(K71-K79)</f>
        <v>5285.040000000001</v>
      </c>
      <c r="L103" s="21"/>
      <c r="M103" s="97" t="s">
        <v>374</v>
      </c>
      <c r="N103" s="14">
        <f>(N71-N79)</f>
        <v>23550</v>
      </c>
      <c r="P103" s="98" t="s">
        <v>408</v>
      </c>
      <c r="Q103" s="14">
        <f>(Q71-Q79)</f>
        <v>24050</v>
      </c>
      <c r="T103" s="21"/>
      <c r="X103" s="42" t="s">
        <v>255</v>
      </c>
      <c r="Y103" s="7">
        <v>863</v>
      </c>
      <c r="Z103" s="7">
        <v>0.08</v>
      </c>
      <c r="AA103" s="7" t="s">
        <v>223</v>
      </c>
    </row>
    <row r="104" spans="1:27" ht="15">
      <c r="A104" s="2"/>
      <c r="J104" s="9" t="s">
        <v>96</v>
      </c>
      <c r="K104" s="14">
        <f>(K72-K80)</f>
        <v>9021.491999999998</v>
      </c>
      <c r="L104" s="21"/>
      <c r="M104" s="97" t="s">
        <v>383</v>
      </c>
      <c r="N104" s="14">
        <f>(N72-N80)</f>
        <v>23550</v>
      </c>
      <c r="P104" s="98" t="s">
        <v>392</v>
      </c>
      <c r="Q104" s="14">
        <f>(Q72-Q80)</f>
        <v>24050</v>
      </c>
      <c r="T104" s="21"/>
      <c r="X104" s="42" t="s">
        <v>256</v>
      </c>
      <c r="Y104" s="7">
        <v>863</v>
      </c>
      <c r="Z104" s="7">
        <v>0.08</v>
      </c>
      <c r="AA104" s="7" t="s">
        <v>174</v>
      </c>
    </row>
    <row r="105" spans="1:27" ht="15">
      <c r="A105" s="154" t="s">
        <v>713</v>
      </c>
      <c r="X105" s="42" t="s">
        <v>257</v>
      </c>
      <c r="Y105" s="7">
        <v>513</v>
      </c>
      <c r="Z105" s="7">
        <v>0.06</v>
      </c>
      <c r="AA105" s="7" t="s">
        <v>223</v>
      </c>
    </row>
    <row r="106" spans="1:27" ht="15">
      <c r="A106" s="4" t="s">
        <v>715</v>
      </c>
      <c r="J106" s="9" t="s">
        <v>97</v>
      </c>
      <c r="M106" s="97" t="s">
        <v>97</v>
      </c>
      <c r="P106" s="98" t="s">
        <v>97</v>
      </c>
      <c r="X106" s="42" t="s">
        <v>258</v>
      </c>
      <c r="Y106" s="7">
        <v>513</v>
      </c>
      <c r="Z106" s="7">
        <v>0.06</v>
      </c>
      <c r="AA106" s="7" t="s">
        <v>174</v>
      </c>
    </row>
    <row r="107" spans="1:27" ht="15">
      <c r="A107" s="4" t="s">
        <v>716</v>
      </c>
      <c r="J107" s="9" t="s">
        <v>98</v>
      </c>
      <c r="K107" s="14">
        <f>(FBST1+ROUND(FOVR1*FMTR1,5))</f>
        <v>4088.67</v>
      </c>
      <c r="L107" s="21"/>
      <c r="M107" s="97" t="s">
        <v>339</v>
      </c>
      <c r="N107" s="14">
        <f>(FBST7+ROUND(FOVR7*FMTR7,5))</f>
        <v>4088.67</v>
      </c>
      <c r="P107" s="98" t="s">
        <v>473</v>
      </c>
      <c r="Q107" s="14">
        <f>(FBST13+ROUND(FOVR13*FMTR13,5))</f>
        <v>4888.67</v>
      </c>
      <c r="T107" s="21"/>
      <c r="X107" s="42">
        <v>61</v>
      </c>
      <c r="Y107" s="7">
        <v>863</v>
      </c>
      <c r="Z107" s="7">
        <v>0.04</v>
      </c>
      <c r="AA107" s="7" t="s">
        <v>174</v>
      </c>
    </row>
    <row r="108" spans="1:27" ht="15">
      <c r="A108" s="157"/>
      <c r="J108" s="9" t="s">
        <v>99</v>
      </c>
      <c r="K108" s="14">
        <f>(K92+ROUND(K100*FMTR2,5))</f>
        <v>528.504</v>
      </c>
      <c r="L108" s="21"/>
      <c r="M108" s="97" t="s">
        <v>348</v>
      </c>
      <c r="N108" s="14">
        <f>(N92+ROUND(N100*FMTR8,5))</f>
        <v>528.50509</v>
      </c>
      <c r="P108" s="98" t="s">
        <v>457</v>
      </c>
      <c r="Q108" s="14">
        <f>(Q92+ROUND(Q100*FMTR14,5))</f>
        <v>1303.50509</v>
      </c>
      <c r="T108" s="21"/>
      <c r="X108" s="42">
        <v>62</v>
      </c>
      <c r="Y108" s="7">
        <v>863</v>
      </c>
      <c r="Z108" s="7">
        <v>0.04</v>
      </c>
      <c r="AA108" s="7" t="s">
        <v>223</v>
      </c>
    </row>
    <row r="109" spans="1:27" ht="15">
      <c r="A109" s="154" t="s">
        <v>660</v>
      </c>
      <c r="J109" s="9" t="s">
        <v>100</v>
      </c>
      <c r="K109" s="14">
        <f>(K93+ROUND(K101*FMTR3,5))</f>
        <v>2223.2219999999998</v>
      </c>
      <c r="L109" s="21"/>
      <c r="M109" s="97" t="s">
        <v>357</v>
      </c>
      <c r="N109" s="14">
        <f>(N93+ROUND(N101*FMTR9,5))</f>
        <v>2223.22364</v>
      </c>
      <c r="P109" s="98" t="s">
        <v>441</v>
      </c>
      <c r="Q109" s="14">
        <f>(Q93+ROUND(Q101*FMTR15,5))</f>
        <v>3023.22364</v>
      </c>
      <c r="T109" s="21"/>
      <c r="X109" s="42">
        <v>63</v>
      </c>
      <c r="Y109" s="7">
        <v>238</v>
      </c>
      <c r="Z109" s="7">
        <v>0.08</v>
      </c>
      <c r="AA109" s="7" t="s">
        <v>174</v>
      </c>
    </row>
    <row r="110" spans="1:27" ht="15">
      <c r="A110" s="2" t="s">
        <v>661</v>
      </c>
      <c r="J110" s="9" t="s">
        <v>101</v>
      </c>
      <c r="K110" s="14">
        <f>(K94+ROUND(K102*FMTR4,5))</f>
        <v>4088.67</v>
      </c>
      <c r="L110" s="21"/>
      <c r="M110" s="97" t="s">
        <v>366</v>
      </c>
      <c r="N110" s="14">
        <f>(N94+ROUND(N102*FMTR10,5))</f>
        <v>4402.5</v>
      </c>
      <c r="P110" s="98" t="s">
        <v>425</v>
      </c>
      <c r="Q110" s="14">
        <f>(Q94+ROUND(Q102*FMTR16,5))</f>
        <v>5202.5</v>
      </c>
      <c r="T110" s="21"/>
      <c r="X110" s="42">
        <v>64</v>
      </c>
      <c r="Y110" s="7">
        <v>238</v>
      </c>
      <c r="Z110" s="7">
        <v>0.08</v>
      </c>
      <c r="AA110" s="7" t="s">
        <v>223</v>
      </c>
    </row>
    <row r="111" spans="1:27" ht="15">
      <c r="A111" s="2"/>
      <c r="J111" s="9" t="s">
        <v>102</v>
      </c>
      <c r="K111" s="14">
        <f>(K95+ROUND(K103*FMTR5,5))</f>
        <v>528.504</v>
      </c>
      <c r="L111" s="21"/>
      <c r="M111" s="97" t="s">
        <v>375</v>
      </c>
      <c r="N111" s="14">
        <f>(N95+ROUND(N103*FMTR11,5))</f>
        <v>4402.5</v>
      </c>
      <c r="P111" s="98" t="s">
        <v>409</v>
      </c>
      <c r="Q111" s="14">
        <f>(Q95+ROUND(Q103*FMTR17,5))</f>
        <v>5202.5</v>
      </c>
      <c r="T111" s="21"/>
      <c r="X111" s="42">
        <v>66</v>
      </c>
      <c r="Y111" s="7">
        <v>863</v>
      </c>
      <c r="Z111" s="7">
        <v>0.08</v>
      </c>
      <c r="AA111" s="7" t="s">
        <v>223</v>
      </c>
    </row>
    <row r="112" spans="1:27" ht="15">
      <c r="A112" s="2" t="s">
        <v>664</v>
      </c>
      <c r="J112" s="9" t="s">
        <v>103</v>
      </c>
      <c r="K112" s="14">
        <f>(K96+ROUND(K104*FMTR6,5))</f>
        <v>2223.2237999999998</v>
      </c>
      <c r="L112" s="21"/>
      <c r="M112" s="97" t="s">
        <v>384</v>
      </c>
      <c r="N112" s="14">
        <f>(N96+ROUND(N104*FMTR12,5))</f>
        <v>4402.5</v>
      </c>
      <c r="P112" s="98" t="s">
        <v>393</v>
      </c>
      <c r="Q112" s="14">
        <f>(Q96+ROUND(Q104*FMTR18,5))</f>
        <v>5202.5</v>
      </c>
      <c r="T112" s="21"/>
      <c r="X112" s="42">
        <v>67</v>
      </c>
      <c r="Y112" s="7">
        <v>317</v>
      </c>
      <c r="Z112" s="7">
        <v>0</v>
      </c>
      <c r="AA112" s="7" t="s">
        <v>174</v>
      </c>
    </row>
    <row r="113" spans="1:27" ht="15">
      <c r="A113" s="2" t="s">
        <v>665</v>
      </c>
      <c r="X113" s="42">
        <v>68</v>
      </c>
      <c r="Y113" s="7">
        <v>317</v>
      </c>
      <c r="Z113" s="7">
        <v>0</v>
      </c>
      <c r="AA113" s="7" t="s">
        <v>223</v>
      </c>
    </row>
    <row r="114" spans="1:27" ht="15">
      <c r="A114" s="2" t="s">
        <v>714</v>
      </c>
      <c r="J114" s="9" t="s">
        <v>104</v>
      </c>
      <c r="M114" s="97" t="s">
        <v>104</v>
      </c>
      <c r="P114" s="98" t="s">
        <v>104</v>
      </c>
      <c r="X114" s="42" t="s">
        <v>259</v>
      </c>
      <c r="Y114" s="7">
        <v>317</v>
      </c>
      <c r="Z114" s="7">
        <v>0.07</v>
      </c>
      <c r="AA114" s="7" t="s">
        <v>174</v>
      </c>
    </row>
    <row r="115" spans="1:27" ht="15">
      <c r="A115" s="2"/>
      <c r="J115" s="9" t="s">
        <v>105</v>
      </c>
      <c r="K115" s="14">
        <f>ROUND(FTA1/PAYFACT,2)</f>
        <v>340.72</v>
      </c>
      <c r="L115" s="21"/>
      <c r="M115" s="97" t="s">
        <v>340</v>
      </c>
      <c r="N115" s="14">
        <f>ROUND(FTA7/PAYFACT2,2)</f>
        <v>340.72</v>
      </c>
      <c r="P115" s="98" t="s">
        <v>474</v>
      </c>
      <c r="Q115" s="14">
        <f>ROUND(FTA13/PAYFACT3,2)</f>
        <v>407.39</v>
      </c>
      <c r="T115" s="21"/>
      <c r="X115" s="42" t="s">
        <v>260</v>
      </c>
      <c r="Y115" s="7">
        <v>317</v>
      </c>
      <c r="Z115" s="7">
        <v>0.07</v>
      </c>
      <c r="AA115" s="7" t="s">
        <v>223</v>
      </c>
    </row>
    <row r="116" spans="1:27" ht="15">
      <c r="A116" s="2" t="s">
        <v>662</v>
      </c>
      <c r="J116" s="9" t="s">
        <v>106</v>
      </c>
      <c r="K116" s="14">
        <f>ROUND(K108/PAYFACT,2)</f>
        <v>44.04</v>
      </c>
      <c r="L116" s="21"/>
      <c r="M116" s="97" t="s">
        <v>349</v>
      </c>
      <c r="N116" s="14">
        <f>ROUND(N108/PAYFACT2,2)</f>
        <v>44.04</v>
      </c>
      <c r="P116" s="98" t="s">
        <v>458</v>
      </c>
      <c r="Q116" s="14">
        <f>ROUND(Q108/PAYFACT3,2)</f>
        <v>108.63</v>
      </c>
      <c r="T116" s="21"/>
      <c r="X116" s="42" t="s">
        <v>261</v>
      </c>
      <c r="Y116" s="7">
        <v>317</v>
      </c>
      <c r="Z116" s="7">
        <v>0.07</v>
      </c>
      <c r="AA116" s="7" t="s">
        <v>174</v>
      </c>
    </row>
    <row r="117" spans="1:27" ht="15">
      <c r="A117" s="2" t="s">
        <v>663</v>
      </c>
      <c r="J117" s="9" t="s">
        <v>107</v>
      </c>
      <c r="K117" s="14">
        <f>ROUND(K109/PAYFACT,2)</f>
        <v>185.27</v>
      </c>
      <c r="L117" s="21"/>
      <c r="M117" s="97" t="s">
        <v>358</v>
      </c>
      <c r="N117" s="14">
        <f>ROUND(N109/PAYFACT2,2)</f>
        <v>185.27</v>
      </c>
      <c r="P117" s="98" t="s">
        <v>442</v>
      </c>
      <c r="Q117" s="14">
        <f>ROUND(Q109/PAYFACT3,2)</f>
        <v>251.94</v>
      </c>
      <c r="T117" s="21"/>
      <c r="X117" s="42" t="s">
        <v>262</v>
      </c>
      <c r="Y117" s="7">
        <v>317</v>
      </c>
      <c r="Z117" s="7">
        <v>0.07</v>
      </c>
      <c r="AA117" s="7" t="s">
        <v>223</v>
      </c>
    </row>
    <row r="118" spans="1:27" ht="15">
      <c r="A118" s="2"/>
      <c r="J118" s="9" t="s">
        <v>108</v>
      </c>
      <c r="K118" s="14">
        <f>ROUND(K110/PAYFACT,2)</f>
        <v>340.72</v>
      </c>
      <c r="L118" s="21"/>
      <c r="M118" s="97" t="s">
        <v>367</v>
      </c>
      <c r="N118" s="14">
        <f>ROUND(N110/PAYFACT2,2)</f>
        <v>366.88</v>
      </c>
      <c r="P118" s="98" t="s">
        <v>426</v>
      </c>
      <c r="Q118" s="14">
        <f>ROUND(Q110/PAYFACT3,2)</f>
        <v>433.54</v>
      </c>
      <c r="T118" s="21"/>
      <c r="X118" s="42" t="s">
        <v>263</v>
      </c>
      <c r="Y118" s="7">
        <v>317</v>
      </c>
      <c r="Z118" s="7">
        <v>0.06</v>
      </c>
      <c r="AA118" s="7" t="s">
        <v>174</v>
      </c>
    </row>
    <row r="119" spans="1:27" ht="15">
      <c r="A119" s="154" t="s">
        <v>640</v>
      </c>
      <c r="J119" s="9" t="s">
        <v>109</v>
      </c>
      <c r="K119" s="14">
        <f>ROUND(K111/PAYFACT,2)</f>
        <v>44.04</v>
      </c>
      <c r="L119" s="21"/>
      <c r="M119" s="97" t="s">
        <v>376</v>
      </c>
      <c r="N119" s="14">
        <f>ROUND(N111/PAYFACT2,2)</f>
        <v>366.88</v>
      </c>
      <c r="P119" s="98" t="s">
        <v>410</v>
      </c>
      <c r="Q119" s="14">
        <f>ROUND(Q111/PAYFACT3,2)</f>
        <v>433.54</v>
      </c>
      <c r="T119" s="21"/>
      <c r="X119" s="42" t="s">
        <v>264</v>
      </c>
      <c r="Y119" s="7">
        <v>317</v>
      </c>
      <c r="Z119" s="7">
        <v>0.06</v>
      </c>
      <c r="AA119" s="7" t="s">
        <v>223</v>
      </c>
    </row>
    <row r="120" spans="1:27" ht="15">
      <c r="A120" s="2"/>
      <c r="J120" s="9" t="s">
        <v>110</v>
      </c>
      <c r="K120" s="14">
        <f>ROUND(K112/PAYFACT,2)</f>
        <v>185.27</v>
      </c>
      <c r="L120" s="21"/>
      <c r="M120" s="97" t="s">
        <v>385</v>
      </c>
      <c r="N120" s="14">
        <f>ROUND(N112/PAYFACT2,2)</f>
        <v>366.88</v>
      </c>
      <c r="P120" s="98" t="s">
        <v>394</v>
      </c>
      <c r="Q120" s="14">
        <f>ROUND(Q112/PAYFACT3,2)</f>
        <v>433.54</v>
      </c>
      <c r="T120" s="21"/>
      <c r="X120" s="42" t="s">
        <v>265</v>
      </c>
      <c r="Y120" s="7">
        <v>863</v>
      </c>
      <c r="Z120" s="7">
        <v>0</v>
      </c>
      <c r="AA120" s="7" t="s">
        <v>223</v>
      </c>
    </row>
    <row r="121" spans="1:27" ht="15">
      <c r="A121" s="154" t="s">
        <v>600</v>
      </c>
      <c r="X121" s="42">
        <v>91</v>
      </c>
      <c r="Y121" s="7">
        <v>0</v>
      </c>
      <c r="Z121" s="7">
        <v>0</v>
      </c>
      <c r="AA121" s="7" t="s">
        <v>223</v>
      </c>
    </row>
    <row r="122" spans="1:27" ht="15">
      <c r="A122" s="2"/>
      <c r="J122" s="9" t="s">
        <v>111</v>
      </c>
      <c r="M122" s="97" t="s">
        <v>111</v>
      </c>
      <c r="P122" s="98" t="s">
        <v>111</v>
      </c>
      <c r="X122" s="42">
        <v>92</v>
      </c>
      <c r="Y122" s="7">
        <v>0</v>
      </c>
      <c r="Z122" s="7">
        <v>0</v>
      </c>
      <c r="AA122" s="7" t="s">
        <v>223</v>
      </c>
    </row>
    <row r="123" spans="1:27" ht="15">
      <c r="A123" s="2" t="s">
        <v>641</v>
      </c>
      <c r="J123" s="9" t="s">
        <v>112</v>
      </c>
      <c r="K123" s="14">
        <f>IF(STM="S",LIES,IF(AND(STM="M",STE&lt;2),LIEM1,IF(AND(STM="M",STE&gt;=2),LIEM2,IF(STM="H",LIEH,99999))))</f>
        <v>11278</v>
      </c>
      <c r="L123" s="21"/>
      <c r="M123" s="97" t="s">
        <v>524</v>
      </c>
      <c r="N123" s="14">
        <f>IF(STM="S",LIES2,IF(AND(STM="M",STE&lt;2),LIEM3,IF(AND(STM="M",STE&gt;=2),LIEM4,IF(STM="H",LIEH2,99999))))</f>
        <v>12226</v>
      </c>
      <c r="P123" s="98" t="s">
        <v>527</v>
      </c>
      <c r="Q123" s="14">
        <f>IF(STM="S",LIES3,IF(AND(STM="M",STE&lt;2),LIEM5,IF(AND(STM="M",STE&gt;=2),LIEM6,IF(STM="H",LIEH3,99999))))</f>
        <v>12226</v>
      </c>
      <c r="X123" s="42">
        <v>93</v>
      </c>
      <c r="Y123" s="7">
        <v>317</v>
      </c>
      <c r="Z123" s="7">
        <v>0</v>
      </c>
      <c r="AA123" s="7" t="s">
        <v>223</v>
      </c>
    </row>
    <row r="124" spans="1:27" ht="15">
      <c r="A124" s="2"/>
      <c r="J124" s="9" t="s">
        <v>113</v>
      </c>
      <c r="K124" s="14">
        <f>(STA*SADDALL)</f>
        <v>0</v>
      </c>
      <c r="L124" s="21"/>
      <c r="M124" s="97" t="s">
        <v>525</v>
      </c>
      <c r="N124" s="14">
        <f>(STA*SADDALL2)</f>
        <v>0</v>
      </c>
      <c r="P124" s="98" t="s">
        <v>526</v>
      </c>
      <c r="Q124" s="14">
        <f>(STA*SADDALL3)</f>
        <v>0</v>
      </c>
      <c r="X124" s="42">
        <v>95</v>
      </c>
      <c r="Y124" s="7">
        <v>0</v>
      </c>
      <c r="Z124" s="7">
        <v>0</v>
      </c>
      <c r="AA124" s="7" t="s">
        <v>224</v>
      </c>
    </row>
    <row r="125" spans="1:27" ht="15">
      <c r="A125" s="2" t="s">
        <v>574</v>
      </c>
      <c r="J125" s="9" t="s">
        <v>114</v>
      </c>
      <c r="K125" s="14">
        <f>IF(STM="S",SDS,IF(AND(STM="M",STE&lt;2),SDM1,IF(AND(STM="M",STE&gt;=2),SDM2,IF(STM="H",SDH,0))))</f>
        <v>3692</v>
      </c>
      <c r="L125" s="21"/>
      <c r="M125" s="97" t="s">
        <v>537</v>
      </c>
      <c r="N125" s="14">
        <f>IF(STM="S",SDS2,IF(AND(STM="M",STE&lt;2),SDM3,IF(AND(STM="M",STE&gt;=2),SDM4,IF(STM="H",SDH3,0))))</f>
        <v>3692</v>
      </c>
      <c r="P125" s="98" t="s">
        <v>536</v>
      </c>
      <c r="Q125" s="14">
        <f>IF(STM="S",SDS3,IF(AND(STM="M",STE&lt;2),SDM3,IF(AND(STM="M",STE&gt;=2),SDM6,IF(STM="H",SDH3,0))))</f>
        <v>3692</v>
      </c>
      <c r="R125" s="14" t="s">
        <v>684</v>
      </c>
      <c r="S125" s="14">
        <f>IF(AND(B14="S",D14=0),AC60,IF(AND(B14="S",D14=1),AD60,IF(AND(B14="S",D14&gt;=2),AE60,IF(AND(B14="M",D14=0),AC61,IF(OR(AND(B14="M",B14="H"),D14=1),AD61,IF(OR(AND(B14="M",B14="H"),D14&gt;=2),AE61,0))))))</f>
        <v>0</v>
      </c>
      <c r="T125" s="21"/>
      <c r="X125" s="42">
        <v>96</v>
      </c>
      <c r="Y125" s="7">
        <v>0</v>
      </c>
      <c r="Z125" s="7">
        <v>0</v>
      </c>
      <c r="AA125" s="7" t="s">
        <v>224</v>
      </c>
    </row>
    <row r="126" spans="1:27" ht="15">
      <c r="A126" s="2"/>
      <c r="J126" s="9" t="s">
        <v>115</v>
      </c>
      <c r="K126" s="14">
        <f>IF(TxChart_code&lt;4,S125,S126)</f>
        <v>0</v>
      </c>
      <c r="L126" s="21"/>
      <c r="M126" s="97" t="s">
        <v>528</v>
      </c>
      <c r="N126" s="14">
        <f>IF(AND(B14="S",D14=0),AM60,IF(AND(B14="S",D14=1),AN60,IF(AND(B14="S",D14&gt;=2),AO60,IF(AND(B14="M",D14=0),AM61,IF(OR(AND(B14="M",B14="H"),D14=1),AN61,IF(OR(AND(B14="M",B14="H"),D14&gt;=2),AO61,0))))))</f>
        <v>0</v>
      </c>
      <c r="P126" s="98" t="s">
        <v>529</v>
      </c>
      <c r="Q126" s="14">
        <f>IF(AND(B14="S",D14=0),AW60,IF(AND(B14="S",D14=1),AX60,IF(AND(B14="S",D14&gt;=2),AY60,IF(AND(B14="M",D14=0),AW61,IF(OR(AND(B14="M",B14="H"),D14=1),AX61,IF(OR(AND(B14="M",B14="H"),D14&gt;=2),AY61,0))))))</f>
        <v>0</v>
      </c>
      <c r="R126" s="14" t="s">
        <v>685</v>
      </c>
      <c r="S126" s="14">
        <f>IF(AND(B14="S",D14=0),BB60,IF(AND(B14="S",D14=1),BC60,IF(AND(B14="S",D14&gt;=2),BD60,IF(AND(B14="M",D14=0),BB61,IF(OR(AND(B14="M",B14="H"),D14=1),BC61,IF(OR(AND(B14="M",B14="H"),D14&gt;=2),BD61,0))))))</f>
        <v>0</v>
      </c>
      <c r="T126" s="21"/>
      <c r="X126" s="42">
        <v>97</v>
      </c>
      <c r="Y126" s="7">
        <v>317</v>
      </c>
      <c r="Z126" s="7">
        <v>0</v>
      </c>
      <c r="AA126" s="7" t="s">
        <v>174</v>
      </c>
    </row>
    <row r="127" spans="1:27" ht="15">
      <c r="A127" s="2" t="s">
        <v>604</v>
      </c>
      <c r="J127" s="9" t="s">
        <v>116</v>
      </c>
      <c r="K127" s="14">
        <f>IF(STE&lt;3,0,STE-2)</f>
        <v>0</v>
      </c>
      <c r="L127" s="21"/>
      <c r="M127" s="97" t="s">
        <v>534</v>
      </c>
      <c r="N127" s="14">
        <f>IF(STE&lt;3,0,STE-2)</f>
        <v>0</v>
      </c>
      <c r="P127" s="98" t="s">
        <v>535</v>
      </c>
      <c r="Q127" s="14">
        <f>IF(STE&lt;3,0,STE-2)</f>
        <v>0</v>
      </c>
      <c r="T127" s="21"/>
      <c r="X127" s="42">
        <v>98</v>
      </c>
      <c r="Y127" s="7">
        <v>0</v>
      </c>
      <c r="Z127" s="7">
        <v>0</v>
      </c>
      <c r="AA127" s="7" t="s">
        <v>174</v>
      </c>
    </row>
    <row r="128" spans="10:27" ht="12.75">
      <c r="J128" s="9" t="s">
        <v>117</v>
      </c>
      <c r="K128" s="14">
        <f>IF(TxChart_code&lt;4,IF(STM="S",TCRSR,TCRMR),IF(STM="S",TCRSR4,TCRMR4))</f>
        <v>99</v>
      </c>
      <c r="L128" s="21"/>
      <c r="M128" s="97" t="s">
        <v>531</v>
      </c>
      <c r="N128" s="14">
        <f>IF(STM="S",TCRSR2,TCRMR2)</f>
        <v>99</v>
      </c>
      <c r="P128" s="98" t="s">
        <v>530</v>
      </c>
      <c r="Q128" s="14">
        <f>IF(STM="S",TCRSR3,TCRMR3)</f>
        <v>99</v>
      </c>
      <c r="T128" s="21"/>
      <c r="X128" s="42">
        <v>99</v>
      </c>
      <c r="Y128" s="7">
        <v>513</v>
      </c>
      <c r="Z128" s="7">
        <v>0</v>
      </c>
      <c r="AA128" s="7" t="s">
        <v>224</v>
      </c>
    </row>
    <row r="129" spans="10:27" ht="12.75">
      <c r="J129" s="9" t="s">
        <v>118</v>
      </c>
      <c r="K129" s="14">
        <f>(TXCRB+(TXCROV2*TXCRR))</f>
        <v>0</v>
      </c>
      <c r="L129" s="21"/>
      <c r="M129" s="97" t="s">
        <v>532</v>
      </c>
      <c r="N129" s="14">
        <f>(TXCRB2+(TXCROV3*TXCRR2))</f>
        <v>0</v>
      </c>
      <c r="P129" s="98" t="s">
        <v>533</v>
      </c>
      <c r="Q129" s="14">
        <f>(TXCRB3+(TXCROV4*TXCRR3))</f>
        <v>0</v>
      </c>
      <c r="T129" s="21"/>
      <c r="X129" s="42" t="s">
        <v>266</v>
      </c>
      <c r="Y129" s="7">
        <v>513</v>
      </c>
      <c r="Z129" s="7">
        <v>0.06</v>
      </c>
      <c r="AA129" s="7" t="s">
        <v>224</v>
      </c>
    </row>
    <row r="130" spans="10:27" ht="12.75">
      <c r="J130" s="9"/>
      <c r="L130" s="21"/>
      <c r="M130" s="97"/>
      <c r="P130" s="98"/>
      <c r="T130" s="21"/>
      <c r="X130" s="42" t="s">
        <v>267</v>
      </c>
      <c r="Y130" s="7">
        <v>513</v>
      </c>
      <c r="Z130" s="7">
        <v>0.06</v>
      </c>
      <c r="AA130" s="7" t="s">
        <v>224</v>
      </c>
    </row>
    <row r="131" spans="10:27" ht="12.75">
      <c r="J131" s="9" t="s">
        <v>119</v>
      </c>
      <c r="M131" s="97" t="s">
        <v>119</v>
      </c>
      <c r="P131" s="98" t="s">
        <v>119</v>
      </c>
      <c r="T131" s="21"/>
      <c r="X131" s="42" t="s">
        <v>268</v>
      </c>
      <c r="Y131" s="7">
        <v>513</v>
      </c>
      <c r="Z131" s="7">
        <v>0.05</v>
      </c>
      <c r="AA131" s="7" t="s">
        <v>224</v>
      </c>
    </row>
    <row r="132" spans="10:27" ht="12.75">
      <c r="J132" s="9" t="s">
        <v>120</v>
      </c>
      <c r="K132" s="151">
        <f>IF((PAYFACT*TG1)-ADDALLOW-SDED&lt;=0,0,(PAYFACT*TG1)-ADDALLOW-SDED)</f>
        <v>42215.8</v>
      </c>
      <c r="L132" s="21"/>
      <c r="M132" s="97" t="s">
        <v>482</v>
      </c>
      <c r="N132" s="14">
        <f>IF((PAYFACT2*TG7)-ADDALLOW2-SDED2&lt;=0,0,(PAYFACT2*TG7)-ADDALLOW2-SDED2)</f>
        <v>42215.8</v>
      </c>
      <c r="P132" s="98" t="s">
        <v>475</v>
      </c>
      <c r="Q132" s="14">
        <f>IF((PAYFACT3*TG13)-ADDALLOW3-SDED3&lt;=0,0,(PAYFACT3*TG13)-ADDALLOW3-SDED3)</f>
        <v>42215.8</v>
      </c>
      <c r="X132" s="42" t="s">
        <v>269</v>
      </c>
      <c r="Y132" s="7">
        <v>0</v>
      </c>
      <c r="Z132" s="7">
        <v>0</v>
      </c>
      <c r="AA132" s="7" t="s">
        <v>224</v>
      </c>
    </row>
    <row r="133" spans="10:27" ht="12.75">
      <c r="J133" s="9" t="s">
        <v>121</v>
      </c>
      <c r="K133" s="14">
        <f>IF((PAYFACT*TG2)-ADDALLOW-SDED&lt;=0,0,(PAYFACT*TG2)-ADDALLOW-SDED)</f>
        <v>17343.04</v>
      </c>
      <c r="L133" s="21"/>
      <c r="M133" s="97" t="s">
        <v>489</v>
      </c>
      <c r="N133" s="14">
        <f>IF((PAYFACT2*TG8)-ADDALLOW2-SDED2&lt;=0,0,(PAYFACT2*TG8)-ADDALLOW2-SDED2)</f>
        <v>17343.05090909091</v>
      </c>
      <c r="P133" s="98" t="s">
        <v>459</v>
      </c>
      <c r="Q133" s="14">
        <f>IF((PAYFACT3*TG14)-ADDALLOW3-SDED3&lt;=0,0,(PAYFACT3*TG14)-ADDALLOW3-SDED3)</f>
        <v>17343.05090909091</v>
      </c>
      <c r="T133" s="21"/>
      <c r="X133" s="42" t="s">
        <v>270</v>
      </c>
      <c r="Y133" s="7">
        <v>0</v>
      </c>
      <c r="Z133" s="7">
        <v>0.08</v>
      </c>
      <c r="AA133" s="7" t="s">
        <v>223</v>
      </c>
    </row>
    <row r="134" spans="10:27" ht="12.75">
      <c r="J134" s="9" t="s">
        <v>122</v>
      </c>
      <c r="K134" s="14">
        <f>IF((PAYFACT*TG3)-ADDALLOW-SDED&lt;=0,0,(PAYFACT*TG3)-ADDALLOW-SDED)</f>
        <v>29779.479999999996</v>
      </c>
      <c r="L134" s="21"/>
      <c r="M134" s="97" t="s">
        <v>496</v>
      </c>
      <c r="N134" s="14">
        <f>IF((PAYFACT2*TG9)-ADDALLOW2-SDED2&lt;=0,0,(PAYFACT2*TG9)-ADDALLOW2-SDED2)</f>
        <v>29779.490909090913</v>
      </c>
      <c r="P134" s="98" t="s">
        <v>443</v>
      </c>
      <c r="Q134" s="14">
        <f>IF((PAYFACT3*TG15)-ADDALLOW3-SDED3&lt;=0,0,(PAYFACT3*TG15)-ADDALLOW3-SDED3)</f>
        <v>29779.490909090913</v>
      </c>
      <c r="R134" s="14" t="s">
        <v>686</v>
      </c>
      <c r="T134" s="21"/>
      <c r="X134" s="42" t="s">
        <v>271</v>
      </c>
      <c r="Y134" s="7">
        <v>0</v>
      </c>
      <c r="Z134" s="7">
        <v>0.01</v>
      </c>
      <c r="AA134" s="7" t="s">
        <v>223</v>
      </c>
    </row>
    <row r="135" spans="10:27" ht="12.75">
      <c r="J135" s="9" t="s">
        <v>123</v>
      </c>
      <c r="K135" s="14">
        <f>IF((PAYFACT*TG1)-ADDALLOW-SDED&lt;=0,0,(PAYFACT*TG1)-ADDALLOW-SDED)</f>
        <v>42215.8</v>
      </c>
      <c r="L135" s="21"/>
      <c r="M135" s="97" t="s">
        <v>503</v>
      </c>
      <c r="N135" s="14">
        <f>IF((PAYFACT2*TG10)-ADDALLOW2-SDED2&lt;=0,0,(PAYFACT2*TG10)-ADDALLOW2-SDED2)</f>
        <v>44308</v>
      </c>
      <c r="P135" s="98" t="s">
        <v>427</v>
      </c>
      <c r="Q135" s="14">
        <f>IF((PAYFACT3*TG16)-ADDALLOW3-SDED3&lt;=0,0,(PAYFACT3*TG16)-ADDALLOW3-SDED3)</f>
        <v>44308</v>
      </c>
      <c r="R135" s="14" t="s">
        <v>687</v>
      </c>
      <c r="T135" s="21"/>
      <c r="X135" s="42" t="s">
        <v>272</v>
      </c>
      <c r="Y135" s="7">
        <v>0</v>
      </c>
      <c r="Z135" s="7">
        <v>0.01</v>
      </c>
      <c r="AA135" s="7" t="s">
        <v>174</v>
      </c>
    </row>
    <row r="136" spans="10:27" ht="12.75">
      <c r="J136" s="9" t="s">
        <v>124</v>
      </c>
      <c r="K136" s="14">
        <f>IF((PAYFACT*TG2)-ADDALLOW-SDED&lt;=0,0,(PAYFACT*TG2)-ADDALLOW-SDED)</f>
        <v>17343.04</v>
      </c>
      <c r="L136" s="21"/>
      <c r="M136" s="97" t="s">
        <v>510</v>
      </c>
      <c r="N136" s="14">
        <f>IF((PAYFACT2*TG11)-ADDALLOW2-SDED2&lt;=0,0,(PAYFACT2*TG11)-ADDALLOW2-SDED2)</f>
        <v>44308</v>
      </c>
      <c r="P136" s="98" t="s">
        <v>411</v>
      </c>
      <c r="Q136" s="14">
        <f>IF((PAYFACT3*TG17)-ADDALLOW3-SDED3&lt;=0,0,(PAYFACT3*TG17)-ADDALLOW3-SDED3)</f>
        <v>44308</v>
      </c>
      <c r="R136" s="14" t="s">
        <v>688</v>
      </c>
      <c r="T136" s="21"/>
      <c r="X136" s="42" t="s">
        <v>273</v>
      </c>
      <c r="Y136" s="7">
        <v>0</v>
      </c>
      <c r="Z136" s="7">
        <v>0.08</v>
      </c>
      <c r="AA136" s="7" t="s">
        <v>174</v>
      </c>
    </row>
    <row r="137" spans="10:27" ht="12.75">
      <c r="J137" s="9" t="s">
        <v>125</v>
      </c>
      <c r="K137" s="14">
        <f>IF((PAYFACT*TG3)-ADDALLOW-SDED&lt;=0,0,(PAYFACT*TG3)-ADDALLOW-SDED)</f>
        <v>29779.479999999996</v>
      </c>
      <c r="L137" s="21"/>
      <c r="M137" s="97" t="s">
        <v>517</v>
      </c>
      <c r="N137" s="14">
        <f>IF((PAYFACT2*TG12)-ADDALLOW2-SDED2&lt;=0,0,(PAYFACT2*TG12)-ADDALLOW2-SDED2)</f>
        <v>44308</v>
      </c>
      <c r="P137" s="98" t="s">
        <v>395</v>
      </c>
      <c r="Q137" s="14">
        <f>IF((PAYFACT3*TG18)-ADDALLOW3-SDED3&lt;=0,0,(PAYFACT3*TG18)-ADDALLOW3-SDED3)</f>
        <v>44308</v>
      </c>
      <c r="R137" s="14" t="s">
        <v>689</v>
      </c>
      <c r="T137" s="21"/>
      <c r="X137" s="42" t="s">
        <v>223</v>
      </c>
      <c r="Y137" s="7">
        <v>0</v>
      </c>
      <c r="Z137" s="7">
        <v>0</v>
      </c>
      <c r="AA137" s="7" t="s">
        <v>223</v>
      </c>
    </row>
    <row r="138" spans="20:27" ht="12.75">
      <c r="T138" s="21"/>
      <c r="X138" s="42" t="s">
        <v>274</v>
      </c>
      <c r="Y138" s="7">
        <v>0</v>
      </c>
      <c r="Z138" s="7">
        <v>0</v>
      </c>
      <c r="AA138" s="7" t="s">
        <v>174</v>
      </c>
    </row>
    <row r="139" spans="10:27" ht="12.75">
      <c r="J139" s="9" t="s">
        <v>126</v>
      </c>
      <c r="M139" s="97" t="s">
        <v>126</v>
      </c>
      <c r="P139" s="98" t="s">
        <v>126</v>
      </c>
      <c r="X139" s="42" t="s">
        <v>180</v>
      </c>
      <c r="Y139" s="7">
        <v>0</v>
      </c>
      <c r="Z139" s="7">
        <v>0</v>
      </c>
      <c r="AA139" s="7" t="s">
        <v>224</v>
      </c>
    </row>
    <row r="140" spans="10:27" ht="12.75">
      <c r="J140" s="9" t="s">
        <v>127</v>
      </c>
      <c r="K140" s="14">
        <f>IF(STM="S",VLOOKUP(STG1,STXTBLS,1),IF(STM="M",VLOOKUP(STG1,STXTBLM,1),IF(STM="H",VLOOKUP(STG1,STXTBLUH,1),0)))</f>
        <v>33988</v>
      </c>
      <c r="L140" s="21"/>
      <c r="M140" s="97" t="s">
        <v>483</v>
      </c>
      <c r="N140" s="14">
        <f>IF(STM="S",VLOOKUP(STG1,STXTBLS2,1),IF(STM="M",VLOOKUP(STG1,STXTBLM2,1),IF(STM="H",VLOOKUP(STG1,STXTBLH2,1),0)))</f>
        <v>33988</v>
      </c>
      <c r="P140" s="98" t="s">
        <v>476</v>
      </c>
      <c r="Q140" s="14">
        <f>IF(STM="S",VLOOKUP(STG13,STXTBLS3,1),IF(STM="M",VLOOKUP(STG13,STXTBLM2,1),IF(STM="H",VLOOKUP(STG13,STXTBLH3,1),0)))</f>
        <v>33988</v>
      </c>
      <c r="X140" s="42" t="s">
        <v>183</v>
      </c>
      <c r="Y140" s="7">
        <v>0</v>
      </c>
      <c r="Z140" s="7">
        <v>0</v>
      </c>
      <c r="AA140" s="7" t="s">
        <v>223</v>
      </c>
    </row>
    <row r="141" spans="10:27" ht="12.75">
      <c r="J141" s="9" t="s">
        <v>128</v>
      </c>
      <c r="K141" s="14">
        <f>IF(STM="S",VLOOKUP(K133,STXTBLS,1),IF(STM="M",VLOOKUP(K133,STXTBLM,1),IF(STM="H",VLOOKUP(K133,STXTBLUH,1),0)))</f>
        <v>14336</v>
      </c>
      <c r="L141" s="21"/>
      <c r="M141" s="97" t="s">
        <v>490</v>
      </c>
      <c r="N141" s="14">
        <f>IF(STM="S",VLOOKUP(N133,STXTBLS2,1),IF(STM="M",VLOOKUP(N133,STXTBLM2,1),IF(STM="H",VLOOKUP(N133,STXTBLH2,1),0)))</f>
        <v>14336</v>
      </c>
      <c r="P141" s="98" t="s">
        <v>460</v>
      </c>
      <c r="Q141" s="14">
        <f>IF(STM="S",VLOOKUP(Q133,STXTBLS3,1),IF(STM="M",VLOOKUP(Q133,STXTBLM3,1),IF(STM="H",VLOOKUP(Q133,STXTBLH3,1),0)))</f>
        <v>14336</v>
      </c>
      <c r="T141" s="21"/>
      <c r="X141" s="42" t="s">
        <v>275</v>
      </c>
      <c r="Y141" s="7">
        <v>0</v>
      </c>
      <c r="Z141" s="7">
        <v>0</v>
      </c>
      <c r="AA141" s="7" t="s">
        <v>174</v>
      </c>
    </row>
    <row r="142" spans="10:27" ht="12.75">
      <c r="J142" s="9" t="s">
        <v>129</v>
      </c>
      <c r="K142" s="14">
        <f>IF(STM="S",VLOOKUP(K134,STXTBLS,1),IF(STM="M",VLOOKUP(K134,STXTBLM,1),IF(STM="H",VLOOKUP(K134,STXTBLUH,1),0)))</f>
        <v>14336</v>
      </c>
      <c r="L142" s="21"/>
      <c r="M142" s="97" t="s">
        <v>497</v>
      </c>
      <c r="N142" s="14">
        <f>IF(STM="S",VLOOKUP(N134,STXTBLS2,1),IF(STM="M",VLOOKUP(N134,STXTBLM2,1),IF(STM="H",VLOOKUP(N134,STXTBLH2,1),0)))</f>
        <v>14336</v>
      </c>
      <c r="P142" s="98" t="s">
        <v>444</v>
      </c>
      <c r="Q142" s="14">
        <f>IF(STM="S",VLOOKUP(Q134,STXTBLS3,1),IF(STM="M",VLOOKUP(Q134,STXTBLM3,1),IF(STM="H",VLOOKUP(Q134,STXTBLH3,1),0)))</f>
        <v>14336</v>
      </c>
      <c r="R142" s="14" t="s">
        <v>686</v>
      </c>
      <c r="T142" s="21"/>
      <c r="X142" s="42" t="s">
        <v>276</v>
      </c>
      <c r="Y142" s="7">
        <v>0</v>
      </c>
      <c r="Z142" s="7">
        <v>0.075</v>
      </c>
      <c r="AA142" s="7" t="s">
        <v>223</v>
      </c>
    </row>
    <row r="143" spans="10:27" ht="12.75">
      <c r="J143" s="9" t="s">
        <v>130</v>
      </c>
      <c r="K143" s="14">
        <f>IF(STM="S",VLOOKUP(STG1,STXTBLS4,1),IF(STM="M",VLOOKUP(STG1,STXTBLM4,1),IF(STM="H",VLOOKUP(STG1,STXTBLH4,1),0)))</f>
        <v>33988</v>
      </c>
      <c r="L143" s="21"/>
      <c r="M143" s="97" t="s">
        <v>504</v>
      </c>
      <c r="N143" s="14">
        <f>IF(STM="S",VLOOKUP(N135,STXTBLS2,1),IF(STM="M",VLOOKUP(N135,STXTBLM2,1),IF(STM="H",VLOOKUP(N135,STXTBLH2,1),0)))</f>
        <v>33988</v>
      </c>
      <c r="P143" s="98" t="s">
        <v>428</v>
      </c>
      <c r="Q143" s="14">
        <f>IF(STM="S",VLOOKUP(Q135,STXTBLS3,1),IF(STM="M",VLOOKUP(Q135,STXTBLM3,1),IF(STM="H",VLOOKUP(Q135,STXTBLH3,1),0)))</f>
        <v>33988</v>
      </c>
      <c r="R143" s="14" t="s">
        <v>690</v>
      </c>
      <c r="T143" s="21"/>
      <c r="X143" s="42" t="s">
        <v>277</v>
      </c>
      <c r="Y143" s="7">
        <v>513</v>
      </c>
      <c r="Z143" s="7">
        <v>0.06</v>
      </c>
      <c r="AA143" s="7" t="s">
        <v>224</v>
      </c>
    </row>
    <row r="144" spans="10:27" ht="12.75">
      <c r="J144" s="9" t="s">
        <v>131</v>
      </c>
      <c r="K144" s="14">
        <f>IF(STM="S",VLOOKUP(K136,STXTBLS4,1),IF(STM="M",VLOOKUP(K136,STXTBLM4,1),IF(STM="H",VLOOKUP(K136,STXTBLH4,1),0)))</f>
        <v>14336</v>
      </c>
      <c r="L144" s="21"/>
      <c r="M144" s="97" t="s">
        <v>511</v>
      </c>
      <c r="N144" s="14">
        <f>IF(STM="S",VLOOKUP(N136,STXTBLS2,1),IF(STM="M",VLOOKUP(N136,STXTBLM2,1),IF(STM="H",VLOOKUP(N136,STXTBLH2,1),0)))</f>
        <v>33988</v>
      </c>
      <c r="P144" s="98" t="s">
        <v>412</v>
      </c>
      <c r="Q144" s="14">
        <f>IF(STM="S",VLOOKUP(Q136,STXTBLS3,1),IF(STM="M",VLOOKUP(Q136,STXTBLM3,1),IF(STM="H",VLOOKUP(Q136,STXTBLH3,1),0)))</f>
        <v>33988</v>
      </c>
      <c r="R144" s="14" t="s">
        <v>691</v>
      </c>
      <c r="T144" s="21"/>
      <c r="X144" s="42" t="s">
        <v>278</v>
      </c>
      <c r="Y144" s="7">
        <v>513</v>
      </c>
      <c r="Z144" s="7">
        <v>0.06</v>
      </c>
      <c r="AA144" s="7" t="s">
        <v>224</v>
      </c>
    </row>
    <row r="145" spans="10:27" ht="12.75">
      <c r="J145" s="9" t="s">
        <v>132</v>
      </c>
      <c r="K145" s="14">
        <f>IF(STM="S",VLOOKUP(K137,STXTBLS4,1),IF(STM="M",VLOOKUP(K137,STXTBLM4,1),IF(STM="H",VLOOKUP(K137,STXTBLH4,1),0)))</f>
        <v>14336</v>
      </c>
      <c r="L145" s="21"/>
      <c r="M145" s="97" t="s">
        <v>518</v>
      </c>
      <c r="N145" s="14">
        <f>IF(STM="S",VLOOKUP(N137,STXTBLS2,1),IF(STM="M",VLOOKUP(N137,STXTBLM2,1),IF(STM="H",VLOOKUP(N137,STXTBLH2,1),0)))</f>
        <v>33988</v>
      </c>
      <c r="P145" s="98" t="s">
        <v>396</v>
      </c>
      <c r="Q145" s="14">
        <f>IF(STM="S",VLOOKUP(Q137,STXTBLS3,1),IF(STM="M",VLOOKUP(Q137,STXTBLM3,1),IF(STM="H",VLOOKUP(Q137,STXTBLH3,1),0)))</f>
        <v>33988</v>
      </c>
      <c r="R145" s="14" t="s">
        <v>692</v>
      </c>
      <c r="T145" s="21"/>
      <c r="X145" s="42" t="s">
        <v>279</v>
      </c>
      <c r="Y145" s="7">
        <v>513</v>
      </c>
      <c r="Z145" s="7">
        <v>0.06</v>
      </c>
      <c r="AA145" s="7" t="s">
        <v>224</v>
      </c>
    </row>
    <row r="146" spans="20:27" ht="12.75">
      <c r="T146" s="21"/>
      <c r="X146" s="42" t="s">
        <v>280</v>
      </c>
      <c r="Y146" s="7">
        <v>513</v>
      </c>
      <c r="Z146" s="7">
        <v>0.06</v>
      </c>
      <c r="AA146" s="7" t="s">
        <v>224</v>
      </c>
    </row>
    <row r="147" spans="10:27" ht="12.75">
      <c r="J147" s="9" t="s">
        <v>133</v>
      </c>
      <c r="M147" s="97" t="s">
        <v>133</v>
      </c>
      <c r="P147" s="98" t="s">
        <v>133</v>
      </c>
      <c r="X147" s="42" t="s">
        <v>281</v>
      </c>
      <c r="Y147" s="7">
        <v>0</v>
      </c>
      <c r="Z147" s="7">
        <v>0.075</v>
      </c>
      <c r="AA147" s="7" t="s">
        <v>174</v>
      </c>
    </row>
    <row r="148" spans="10:27" ht="12.75">
      <c r="J148" s="9" t="s">
        <v>134</v>
      </c>
      <c r="K148" s="152">
        <f>IF(STM="S",VLOOKUP(STG1,STXTBLS,2),IF(STM="M",VLOOKUP(STG1,STXTBLM,2),IF(STM="H",VLOOKUP(STG1,STXTBLUH,2),0)))</f>
        <v>0.0425</v>
      </c>
      <c r="L148" s="21"/>
      <c r="M148" s="97" t="s">
        <v>484</v>
      </c>
      <c r="N148" s="152">
        <f>IF(STM="S",VLOOKUP(STG1,STXTBLS2,2),IF(STM="M",VLOOKUP(STG1,STXTBLM2,2),IF(STM="H",VLOOKUP(STG1,STXTBLH2,2),0)))</f>
        <v>0.04</v>
      </c>
      <c r="P148" s="98" t="s">
        <v>477</v>
      </c>
      <c r="Q148" s="152">
        <f>IF(STM="S",VLOOKUP(STG1,STXTBLS3,2),IF(STM="M",VLOOKUP(STG1,STXTBLM3,2),IF(STM="H",VLOOKUP(STG1,STXTBLH3,2),0)))</f>
        <v>0.04</v>
      </c>
      <c r="X148" s="42" t="s">
        <v>282</v>
      </c>
      <c r="Y148" s="7">
        <v>513</v>
      </c>
      <c r="Z148" s="7">
        <v>0.05</v>
      </c>
      <c r="AA148" s="7" t="s">
        <v>224</v>
      </c>
    </row>
    <row r="149" spans="10:27" ht="12.75">
      <c r="J149" s="9" t="s">
        <v>135</v>
      </c>
      <c r="K149" s="152">
        <f>IF(STM="S",VLOOKUP(K133,STXTBLS,2),IF(STM="M",VLOOKUP(K133,STXTBLM,2),IF(STM="H",VLOOKUP(K133,STXTBLUH,2),0)))</f>
        <v>0.0225</v>
      </c>
      <c r="L149" s="21"/>
      <c r="M149" s="97" t="s">
        <v>491</v>
      </c>
      <c r="N149" s="152">
        <f>IF(STM="S",VLOOKUP(N133,STXTBLS2,2),IF(STM="M",VLOOKUP(N133,STXTBLM2,2),IF(STM="H",VLOOKUP(N133,STXTBLH2,2),0)))</f>
        <v>0.02</v>
      </c>
      <c r="P149" s="98" t="s">
        <v>461</v>
      </c>
      <c r="Q149" s="152">
        <f>IF(STM="S",VLOOKUP(Q133,STXTBLS3,2),IF(STM="M",VLOOKUP(Q133,STXTBLM3,2),IF(STM="H",VLOOKUP(Q133,STXTBLH3,2),0)))</f>
        <v>0.02</v>
      </c>
      <c r="T149" s="21"/>
      <c r="X149" s="42" t="s">
        <v>283</v>
      </c>
      <c r="Y149" s="7">
        <v>513</v>
      </c>
      <c r="Z149" s="7">
        <v>0.05</v>
      </c>
      <c r="AA149" s="7" t="s">
        <v>224</v>
      </c>
    </row>
    <row r="150" spans="10:27" ht="12.75">
      <c r="J150" s="9" t="s">
        <v>136</v>
      </c>
      <c r="K150" s="152">
        <f>IF(STM="S",VLOOKUP(K134,STXTBLS,2),IF(STM="M",VLOOKUP(K134,STXTBLM,2),IF(STM="H",VLOOKUP(K134,STXTBLUH,2),0)))</f>
        <v>0.0225</v>
      </c>
      <c r="L150" s="21"/>
      <c r="M150" s="97" t="s">
        <v>498</v>
      </c>
      <c r="N150" s="152">
        <f>IF(STM="S",VLOOKUP(N134,STXTBLS2,2),IF(STM="M",VLOOKUP(N134,STXTBLM2,2),IF(STM="H",VLOOKUP(N134,STXTBLH2,2),0)))</f>
        <v>0.02</v>
      </c>
      <c r="P150" s="98" t="s">
        <v>445</v>
      </c>
      <c r="Q150" s="152">
        <f>IF(STM="S",VLOOKUP(Q134,STXTBLS3,2),IF(STM="M",VLOOKUP(Q134,STXTBLM3,2),IF(STM="H",VLOOKUP(Q134,STXTBLH3,2),0)))</f>
        <v>0.02</v>
      </c>
      <c r="R150" s="14" t="s">
        <v>686</v>
      </c>
      <c r="T150" s="21"/>
      <c r="X150" s="42" t="s">
        <v>284</v>
      </c>
      <c r="Y150" s="7">
        <v>513</v>
      </c>
      <c r="Z150" s="7">
        <v>0.05</v>
      </c>
      <c r="AA150" s="7" t="s">
        <v>224</v>
      </c>
    </row>
    <row r="151" spans="10:27" ht="12.75">
      <c r="J151" s="9" t="s">
        <v>137</v>
      </c>
      <c r="K151" s="49">
        <f>IF(STM="S",VLOOKUP(K135,STXTBLS4,2),IF(STM="M",VLOOKUP(K135,STXTBLM4,2),IF(STM="H",VLOOKUP(K135,STXTBLH4,2),0)))</f>
        <v>0.04675</v>
      </c>
      <c r="L151" s="21"/>
      <c r="M151" s="97" t="s">
        <v>505</v>
      </c>
      <c r="N151" s="152">
        <f>IF(STM="S",VLOOKUP(N135,STXTBLS2,2),IF(STM="M",VLOOKUP(N135,STXTBLM2,2),IF(STM="H",VLOOKUP(N135,STXTBLH2,2),0)))</f>
        <v>0.04</v>
      </c>
      <c r="P151" s="98" t="s">
        <v>429</v>
      </c>
      <c r="Q151" s="152">
        <f>IF(STM="S",VLOOKUP(Q135,STXTBLS3,2),IF(STM="M",VLOOKUP(Q135,STXTBLM3,2),IF(STM="H",VLOOKUP(Q135,STXTBLH3,2),0)))</f>
        <v>0.04</v>
      </c>
      <c r="R151" s="14" t="s">
        <v>693</v>
      </c>
      <c r="T151" s="21"/>
      <c r="X151" s="42" t="s">
        <v>285</v>
      </c>
      <c r="Y151" s="7">
        <v>513</v>
      </c>
      <c r="Z151" s="7">
        <v>0.05</v>
      </c>
      <c r="AA151" s="7" t="s">
        <v>224</v>
      </c>
    </row>
    <row r="152" spans="10:27" ht="12.75">
      <c r="J152" s="9" t="s">
        <v>138</v>
      </c>
      <c r="K152" s="49">
        <f>IF(STM="S",VLOOKUP(K136,STXTBLS4,2),IF(STM="M",VLOOKUP(K136,STXTBLM4,2),IF(STM="H",VLOOKUP(K136,STXTBLH4,2),0)))</f>
        <v>0.02475</v>
      </c>
      <c r="L152" s="21"/>
      <c r="M152" s="97" t="s">
        <v>512</v>
      </c>
      <c r="N152" s="152">
        <f>IF(STM="S",VLOOKUP(N136,STXTBLS2,2),IF(STM="M",VLOOKUP(N136,STXTBLM2,2),IF(STM="H",VLOOKUP(N136,STXTBLH2,2),0)))</f>
        <v>0.04</v>
      </c>
      <c r="P152" s="98" t="s">
        <v>413</v>
      </c>
      <c r="Q152" s="152">
        <f>IF(STM="S",VLOOKUP(Q136,STXTBLS3,2),IF(STM="M",VLOOKUP(Q136,STXTBLM3,2),IF(STM="H",VLOOKUP(Q136,STXTBLH3,2),0)))</f>
        <v>0.04</v>
      </c>
      <c r="R152" s="14" t="s">
        <v>694</v>
      </c>
      <c r="T152" s="21"/>
      <c r="X152" s="42" t="s">
        <v>286</v>
      </c>
      <c r="Y152" s="7">
        <v>513</v>
      </c>
      <c r="Z152" s="7">
        <v>0.05</v>
      </c>
      <c r="AA152" s="7" t="s">
        <v>224</v>
      </c>
    </row>
    <row r="153" spans="10:27" ht="12.75">
      <c r="J153" s="9" t="s">
        <v>139</v>
      </c>
      <c r="K153" s="49">
        <f>IF(STM="S",VLOOKUP(K137,STXTBLS4,2),IF(STM="M",VLOOKUP(K137,STXTBLM4,2),IF(STM="H",VLOOKUP(K137,STXTBLH4,2),0)))</f>
        <v>0.02475</v>
      </c>
      <c r="L153" s="21"/>
      <c r="M153" s="97" t="s">
        <v>519</v>
      </c>
      <c r="N153" s="152">
        <f>IF(STM="S",VLOOKUP(N137,STXTBLS2,2),IF(STM="M",VLOOKUP(N137,STXTBLM2,2),IF(STM="H",VLOOKUP(N137,STXTBLH2,2),0)))</f>
        <v>0.04</v>
      </c>
      <c r="P153" s="98" t="s">
        <v>397</v>
      </c>
      <c r="Q153" s="152">
        <f>IF(STM="S",VLOOKUP(Q137,STXTBLS3,2),IF(STM="M",VLOOKUP(Q137,STXTBLM3,2),IF(STM="H",VLOOKUP(Q137,STXTBLH3,2),0)))</f>
        <v>0.04</v>
      </c>
      <c r="R153" s="14" t="s">
        <v>695</v>
      </c>
      <c r="T153" s="21"/>
      <c r="X153" s="42" t="s">
        <v>287</v>
      </c>
      <c r="Y153" s="7">
        <v>513</v>
      </c>
      <c r="Z153" s="7">
        <v>0.05</v>
      </c>
      <c r="AA153" s="7" t="s">
        <v>224</v>
      </c>
    </row>
    <row r="154" spans="20:27" ht="12.75">
      <c r="T154" s="21"/>
      <c r="X154" s="42" t="s">
        <v>288</v>
      </c>
      <c r="Y154" s="7">
        <v>513</v>
      </c>
      <c r="Z154" s="7">
        <v>0.05</v>
      </c>
      <c r="AA154" s="7" t="s">
        <v>224</v>
      </c>
    </row>
    <row r="155" spans="10:27" ht="12.75">
      <c r="J155" s="9" t="s">
        <v>140</v>
      </c>
      <c r="M155" s="97" t="s">
        <v>140</v>
      </c>
      <c r="P155" s="98" t="s">
        <v>140</v>
      </c>
      <c r="X155" s="42" t="s">
        <v>289</v>
      </c>
      <c r="Y155" s="7">
        <v>0</v>
      </c>
      <c r="Z155" s="7">
        <v>0.075</v>
      </c>
      <c r="AA155" s="7" t="s">
        <v>223</v>
      </c>
    </row>
    <row r="156" spans="10:27" ht="12.75">
      <c r="J156" s="9" t="s">
        <v>141</v>
      </c>
      <c r="K156" s="14">
        <f>IF(STM="S",VLOOKUP(STG1,STXTBLS,3),IF(STM="M",VLOOKUP(STG1,STXTBLM,3),IF(STM="H",VLOOKUP(STG1,STXTBLUH,3),0)))</f>
        <v>621.37</v>
      </c>
      <c r="L156" s="21"/>
      <c r="M156" s="97" t="s">
        <v>485</v>
      </c>
      <c r="N156" s="14">
        <f>IF(STM="S",VLOOKUP(STG1,STXTBLS2,3),IF(STM="M",VLOOKUP(STG1,STXTBLM2,3),IF(STM="H",VLOOKUP(STG1,STXTBLH2,3),0)))</f>
        <v>536.4</v>
      </c>
      <c r="P156" s="98" t="s">
        <v>478</v>
      </c>
      <c r="Q156" s="14">
        <f>IF(STM="S",VLOOKUP(STG1,STXTBLS3,3),IF(STM="M",VLOOKUP(STG1,STXTBLM3,3),IF(STM="H",VLOOKUP(STG1,STXTBLH3,3),0)))</f>
        <v>536.4</v>
      </c>
      <c r="X156" s="42" t="s">
        <v>290</v>
      </c>
      <c r="Y156" s="7">
        <v>0</v>
      </c>
      <c r="Z156" s="7">
        <v>0.075</v>
      </c>
      <c r="AA156" s="7" t="s">
        <v>174</v>
      </c>
    </row>
    <row r="157" spans="10:27" ht="12.75">
      <c r="J157" s="9" t="s">
        <v>142</v>
      </c>
      <c r="K157" s="14">
        <f>IF(STM="S",VLOOKUP(K133,STXTBLS,3),IF(STM="M",VLOOKUP(K133,STXTBLM,3),IF(STM="H",VLOOKUP(K133,STXTBLUH,3),0)))</f>
        <v>179.2</v>
      </c>
      <c r="L157" s="21"/>
      <c r="M157" s="97" t="s">
        <v>492</v>
      </c>
      <c r="N157" s="14">
        <f>IF(STM="S",VLOOKUP(N133,STXTBLS2,3),IF(STM="M",VLOOKUP(N133,STXTBLM2,3),IF(STM="H",VLOOKUP(N133,STXTBLH2,3),0)))</f>
        <v>143.36</v>
      </c>
      <c r="P157" s="98" t="s">
        <v>462</v>
      </c>
      <c r="Q157" s="14">
        <f>IF(STM="S",VLOOKUP(Q133,STXTBLS3,3),IF(STM="M",VLOOKUP(Q133,STXTBLM3,3),IF(STM="H",VLOOKUP(Q133,STXTBLH3,3),0)))</f>
        <v>143.36</v>
      </c>
      <c r="T157" s="21"/>
      <c r="X157" s="42" t="s">
        <v>291</v>
      </c>
      <c r="Y157" s="7">
        <v>513</v>
      </c>
      <c r="Z157" s="7">
        <v>0.05</v>
      </c>
      <c r="AA157" s="7" t="s">
        <v>224</v>
      </c>
    </row>
    <row r="158" spans="10:20" ht="12.75">
      <c r="J158" s="9" t="s">
        <v>143</v>
      </c>
      <c r="K158" s="14">
        <f>IF(STM="S",VLOOKUP(K134,STXTBLS,3),IF(STM="M",VLOOKUP(K134,STXTBLM,3),IF(STM="H",VLOOKUP(K134,STXTBLUH,3),0)))</f>
        <v>179.2</v>
      </c>
      <c r="L158" s="21"/>
      <c r="M158" s="97" t="s">
        <v>499</v>
      </c>
      <c r="N158" s="14">
        <f>IF(STM="S",VLOOKUP(N134,STXTBLS2,3),IF(STM="M",VLOOKUP(N134,STXTBLM2,3),IF(STM="H",VLOOKUP(N134,STXTBLH2,3),0)))</f>
        <v>143.36</v>
      </c>
      <c r="P158" s="98" t="s">
        <v>446</v>
      </c>
      <c r="Q158" s="14">
        <f>IF(STM="S",VLOOKUP(Q134,STXTBLS3,3),IF(STM="M",VLOOKUP(Q134,STXTBLM3,3),IF(STM="H",VLOOKUP(Q134,STXTBLH3,3),0)))</f>
        <v>143.36</v>
      </c>
      <c r="R158" s="14" t="s">
        <v>686</v>
      </c>
      <c r="T158" s="21"/>
    </row>
    <row r="159" spans="10:20" ht="12.75">
      <c r="J159" s="9" t="s">
        <v>144</v>
      </c>
      <c r="K159" s="14">
        <f>IF(STM="S",VLOOKUP(K135,STXTBLS4,3),IF(STM="M",VLOOKUP(K135,STXTBLM4,3),IF(STM="H",VLOOKUP(K135,STXTBLH4,3),0)))</f>
        <v>683.51</v>
      </c>
      <c r="L159" s="21"/>
      <c r="M159" s="97" t="s">
        <v>506</v>
      </c>
      <c r="N159" s="14">
        <f>IF(STM="S",VLOOKUP(N135,STXTBLS2,3),IF(STM="M",VLOOKUP(N135,STXTBLM2,3),IF(STM="H",VLOOKUP(N135,STXTBLH2,3),0)))</f>
        <v>536.4</v>
      </c>
      <c r="P159" s="98" t="s">
        <v>430</v>
      </c>
      <c r="Q159" s="14">
        <f>IF(STM="S",VLOOKUP(Q135,STXTBLS3,3),IF(STM="M",VLOOKUP(Q135,STXTBLM3,3),IF(STM="H",VLOOKUP(Q135,STXTBLH3,3),0)))</f>
        <v>536.4</v>
      </c>
      <c r="R159" s="14" t="s">
        <v>696</v>
      </c>
      <c r="T159" s="21"/>
    </row>
    <row r="160" spans="10:20" ht="12.75">
      <c r="J160" s="9" t="s">
        <v>145</v>
      </c>
      <c r="K160" s="14">
        <f>IF(STM="S",VLOOKUP(K136,STXTBLS4,3),IF(STM="M",VLOOKUP(K136,STXTBLM4,3),IF(STM="H",VLOOKUP(K136,STXTBLH4,3),0)))</f>
        <v>197.12</v>
      </c>
      <c r="L160" s="21"/>
      <c r="M160" s="97" t="s">
        <v>513</v>
      </c>
      <c r="N160" s="14">
        <f>IF(STM="S",VLOOKUP(N136,STXTBLS2,3),IF(STM="M",VLOOKUP(N136,STXTBLM2,3),IF(STM="H",VLOOKUP(N136,STXTBLH2,3),0)))</f>
        <v>536.4</v>
      </c>
      <c r="P160" s="98" t="s">
        <v>414</v>
      </c>
      <c r="Q160" s="14">
        <f>IF(STM="S",VLOOKUP(Q136,STXTBLS3,3),IF(STM="M",VLOOKUP(Q136,STXTBLM3,3),IF(STM="H",VLOOKUP(Q136,STXTBLH3,3),0)))</f>
        <v>536.4</v>
      </c>
      <c r="R160" s="14" t="s">
        <v>697</v>
      </c>
      <c r="T160" s="21"/>
    </row>
    <row r="161" spans="10:20" ht="12.75">
      <c r="J161" s="9" t="s">
        <v>146</v>
      </c>
      <c r="K161" s="14">
        <f>IF(STM="S",VLOOKUP(K137,STXTBLS4,3),IF(STM="M",VLOOKUP(K137,STXTBLM4,3),IF(STM="H",VLOOKUP(K137,STXTBLH4,3),0)))</f>
        <v>197.12</v>
      </c>
      <c r="L161" s="21"/>
      <c r="M161" s="97" t="s">
        <v>520</v>
      </c>
      <c r="N161" s="14">
        <f>IF(STM="S",VLOOKUP(N137,STXTBLS2,3),IF(STM="M",VLOOKUP(N137,STXTBLM2,3),IF(STM="H",VLOOKUP(N137,STXTBLH2,3),0)))</f>
        <v>536.4</v>
      </c>
      <c r="P161" s="98" t="s">
        <v>398</v>
      </c>
      <c r="Q161" s="14">
        <f>IF(STM="S",VLOOKUP(Q137,STXTBLS3,3),IF(STM="M",VLOOKUP(Q137,STXTBLM3,3),IF(STM="H",VLOOKUP(Q137,STXTBLH3,3),0)))</f>
        <v>536.4</v>
      </c>
      <c r="R161" s="14" t="s">
        <v>698</v>
      </c>
      <c r="T161" s="21"/>
    </row>
    <row r="162" ht="12.75">
      <c r="T162" s="21"/>
    </row>
    <row r="163" spans="10:16" ht="12.75">
      <c r="J163" s="9" t="s">
        <v>147</v>
      </c>
      <c r="M163" s="97" t="s">
        <v>147</v>
      </c>
      <c r="P163" s="98" t="s">
        <v>147</v>
      </c>
    </row>
    <row r="164" spans="10:17" ht="12.75">
      <c r="J164" s="9" t="s">
        <v>148</v>
      </c>
      <c r="K164" s="14">
        <f>(STG1-SBSA1)</f>
        <v>8227.800000000003</v>
      </c>
      <c r="L164" s="21"/>
      <c r="M164" s="97" t="s">
        <v>486</v>
      </c>
      <c r="N164" s="14">
        <f>(STG7-SBSA7)</f>
        <v>8227.800000000003</v>
      </c>
      <c r="P164" s="98" t="s">
        <v>479</v>
      </c>
      <c r="Q164" s="14">
        <f>(STG13-SBSA13)</f>
        <v>8227.800000000003</v>
      </c>
    </row>
    <row r="165" spans="10:20" ht="12.75">
      <c r="J165" s="9" t="s">
        <v>149</v>
      </c>
      <c r="K165" s="14">
        <f>(K133-K141)</f>
        <v>3007.040000000001</v>
      </c>
      <c r="L165" s="21"/>
      <c r="M165" s="97" t="s">
        <v>493</v>
      </c>
      <c r="N165" s="14">
        <f>(N133-N141)</f>
        <v>3007.050909090911</v>
      </c>
      <c r="P165" s="98" t="s">
        <v>463</v>
      </c>
      <c r="Q165" s="14">
        <f>(Q133-Q141)</f>
        <v>3007.050909090911</v>
      </c>
      <c r="T165" s="21"/>
    </row>
    <row r="166" spans="10:20" ht="12.75">
      <c r="J166" s="9" t="s">
        <v>150</v>
      </c>
      <c r="K166" s="14">
        <f>(K134-K142)</f>
        <v>15443.479999999996</v>
      </c>
      <c r="L166" s="21"/>
      <c r="M166" s="97" t="s">
        <v>500</v>
      </c>
      <c r="N166" s="14">
        <f>(N134-N142)</f>
        <v>15443.490909090913</v>
      </c>
      <c r="P166" s="98" t="s">
        <v>447</v>
      </c>
      <c r="Q166" s="14">
        <f>(Q134-Q142)</f>
        <v>15443.490909090913</v>
      </c>
      <c r="T166" s="21"/>
    </row>
    <row r="167" spans="10:20" ht="12.75">
      <c r="J167" s="9" t="s">
        <v>151</v>
      </c>
      <c r="K167" s="14">
        <f>(K135-K143)</f>
        <v>8227.800000000003</v>
      </c>
      <c r="L167" s="21"/>
      <c r="M167" s="97" t="s">
        <v>507</v>
      </c>
      <c r="N167" s="14">
        <f>(N135-N143)</f>
        <v>10320</v>
      </c>
      <c r="P167" s="98" t="s">
        <v>431</v>
      </c>
      <c r="Q167" s="14">
        <f>(Q135-Q143)</f>
        <v>10320</v>
      </c>
      <c r="T167" s="21"/>
    </row>
    <row r="168" spans="10:20" ht="12.75">
      <c r="J168" s="9" t="s">
        <v>152</v>
      </c>
      <c r="K168" s="14">
        <f>(K136-K144)</f>
        <v>3007.040000000001</v>
      </c>
      <c r="L168" s="21"/>
      <c r="M168" s="97" t="s">
        <v>514</v>
      </c>
      <c r="N168" s="14">
        <f>(N136-N144)</f>
        <v>10320</v>
      </c>
      <c r="P168" s="98" t="s">
        <v>415</v>
      </c>
      <c r="Q168" s="14">
        <f>(Q136-Q144)</f>
        <v>10320</v>
      </c>
      <c r="T168" s="21"/>
    </row>
    <row r="169" spans="10:20" ht="12.75">
      <c r="J169" s="9" t="s">
        <v>153</v>
      </c>
      <c r="K169" s="14">
        <f>(K137-K145)</f>
        <v>15443.479999999996</v>
      </c>
      <c r="L169" s="21"/>
      <c r="M169" s="97" t="s">
        <v>521</v>
      </c>
      <c r="N169" s="14">
        <f>(N137-N145)</f>
        <v>10320</v>
      </c>
      <c r="P169" s="98" t="s">
        <v>399</v>
      </c>
      <c r="Q169" s="14">
        <f>(Q137-Q145)</f>
        <v>10320</v>
      </c>
      <c r="T169" s="21"/>
    </row>
    <row r="170" ht="12.75">
      <c r="T170" s="21"/>
    </row>
    <row r="171" spans="10:16" ht="12.75">
      <c r="J171" s="9" t="s">
        <v>154</v>
      </c>
      <c r="M171" s="97" t="s">
        <v>154</v>
      </c>
      <c r="P171" s="98" t="s">
        <v>154</v>
      </c>
    </row>
    <row r="172" spans="10:17" ht="12.75">
      <c r="J172" s="9" t="s">
        <v>155</v>
      </c>
      <c r="K172" s="14">
        <f>(SBST1+ROUND(SOVR1*SMTR1,5))</f>
        <v>971.0515</v>
      </c>
      <c r="L172" s="21"/>
      <c r="M172" s="97" t="s">
        <v>487</v>
      </c>
      <c r="N172" s="14">
        <f>(SBST7+ROUND(SOVR7*SMTR7,5))</f>
        <v>865.512</v>
      </c>
      <c r="P172" s="98" t="s">
        <v>480</v>
      </c>
      <c r="Q172" s="14">
        <f>(SBST13+ROUND(SOVR13*SMTR13,5))</f>
        <v>865.512</v>
      </c>
    </row>
    <row r="173" spans="10:20" ht="12.75">
      <c r="J173" s="9" t="s">
        <v>156</v>
      </c>
      <c r="K173" s="14">
        <f>(K157+ROUND(K165*SMTR2,5))</f>
        <v>246.8584</v>
      </c>
      <c r="L173" s="21"/>
      <c r="M173" s="97" t="s">
        <v>494</v>
      </c>
      <c r="N173" s="14">
        <f>(N157+ROUND(N165*SMTR8,5))</f>
        <v>203.50102</v>
      </c>
      <c r="P173" s="98" t="s">
        <v>464</v>
      </c>
      <c r="Q173" s="14">
        <f>(Q157+ROUND(Q165*SMTR14,5))</f>
        <v>203.50102</v>
      </c>
      <c r="T173" s="21"/>
    </row>
    <row r="174" spans="10:20" ht="12.75">
      <c r="J174" s="9" t="s">
        <v>157</v>
      </c>
      <c r="K174" s="14">
        <f>(K158+ROUND(K166*SMTR3,5))</f>
        <v>526.6783</v>
      </c>
      <c r="L174" s="21"/>
      <c r="M174" s="97" t="s">
        <v>501</v>
      </c>
      <c r="N174" s="14">
        <f>(N158+ROUND(N166*SMTR9,5))</f>
        <v>452.22982</v>
      </c>
      <c r="P174" s="98" t="s">
        <v>448</v>
      </c>
      <c r="Q174" s="14">
        <f>(Q158+ROUND(Q166*SMTR15,5))</f>
        <v>452.22982</v>
      </c>
      <c r="T174" s="21"/>
    </row>
    <row r="175" spans="10:20" ht="12.75">
      <c r="J175" s="9" t="s">
        <v>158</v>
      </c>
      <c r="K175" s="14">
        <f>(K159+ROUND(K167*SMTR4,5))</f>
        <v>1068.15965</v>
      </c>
      <c r="L175" s="21"/>
      <c r="M175" s="97" t="s">
        <v>508</v>
      </c>
      <c r="N175" s="14">
        <f>(N159+ROUND(N167*SMTR10,5))</f>
        <v>949.2</v>
      </c>
      <c r="P175" s="98" t="s">
        <v>432</v>
      </c>
      <c r="Q175" s="14">
        <f>(Q159+ROUND(Q167*SMTR16,5))</f>
        <v>949.2</v>
      </c>
      <c r="T175" s="21"/>
    </row>
    <row r="176" spans="10:20" ht="12.75">
      <c r="J176" s="9" t="s">
        <v>159</v>
      </c>
      <c r="K176" s="14">
        <f>(K160+ROUND(K168*SMTR5,5))</f>
        <v>271.54424</v>
      </c>
      <c r="L176" s="21"/>
      <c r="M176" s="97" t="s">
        <v>515</v>
      </c>
      <c r="N176" s="14">
        <f>(N160+ROUND(N168*SMTR11,5))</f>
        <v>949.2</v>
      </c>
      <c r="P176" s="98" t="s">
        <v>416</v>
      </c>
      <c r="Q176" s="14">
        <f>(Q160+ROUND(Q168*SMTR17,5))</f>
        <v>949.2</v>
      </c>
      <c r="T176" s="21"/>
    </row>
    <row r="177" spans="10:20" ht="12.75">
      <c r="J177" s="9" t="s">
        <v>160</v>
      </c>
      <c r="K177" s="14">
        <f>(K161+ROUND(K169*SMTR6,5))</f>
        <v>579.34613</v>
      </c>
      <c r="L177" s="21"/>
      <c r="M177" s="97" t="s">
        <v>522</v>
      </c>
      <c r="N177" s="14">
        <f>(N161+ROUND(N169*SMTR12,5))</f>
        <v>949.2</v>
      </c>
      <c r="P177" s="98" t="s">
        <v>400</v>
      </c>
      <c r="Q177" s="14">
        <f>(Q161+ROUND(Q169*SMTR18,5))</f>
        <v>949.2</v>
      </c>
      <c r="T177" s="21"/>
    </row>
    <row r="178" ht="12.75">
      <c r="T178" s="21"/>
    </row>
    <row r="179" spans="10:16" ht="12.75">
      <c r="J179" s="9" t="s">
        <v>161</v>
      </c>
      <c r="M179" s="97" t="s">
        <v>161</v>
      </c>
      <c r="P179" s="98" t="s">
        <v>161</v>
      </c>
    </row>
    <row r="180" spans="10:17" ht="12.75">
      <c r="J180" s="9" t="s">
        <v>162</v>
      </c>
      <c r="K180" s="14">
        <f>IF(OR(TG1*PAYFACT&lt;=LIE,(STA1-TXCREDIT)/PAYFACT&lt;=0),0,IF(STA1-TXCREDIT/PAYFACT&gt;0,ROUND((STA1-TXCREDIT)/PAYFACT,2)))</f>
        <v>80.92</v>
      </c>
      <c r="L180" s="21"/>
      <c r="M180" s="97" t="s">
        <v>488</v>
      </c>
      <c r="N180" s="14">
        <f>IF(OR(TG7*PAYFACT2&lt;=LIE2,(STA7-TXCREDIT2)/PAYFACT2&lt;=0),0,IF(STA7-TXCREDIT2/PAYFACT2&gt;0,ROUND((STA7-TXCREDIT2)/PAYFACT2,2)))</f>
        <v>72.13</v>
      </c>
      <c r="P180" s="98" t="s">
        <v>481</v>
      </c>
      <c r="Q180" s="14">
        <f>IF(OR(TG13*PAYFACT3&lt;=LIE3,(STA13-TXCREDIT3)/PAYFACT3&lt;=0),0,IF(STA13-TXCREDIT3/PAYFACT3&gt;0,ROUND((STA13-TXCREDIT3)/PAYFACT3,2)))</f>
        <v>72.13</v>
      </c>
    </row>
    <row r="181" spans="10:20" ht="12.75">
      <c r="J181" s="9" t="s">
        <v>163</v>
      </c>
      <c r="K181" s="14">
        <f>IF(OR(TG2*PAYFACT&lt;=LIE,(K173-TXCREDIT)/PAYFACT&lt;=0),0,IF(K173-TXCREDIT/PAYFACT&gt;0,ROUND((K173-TXCREDIT)/PAYFACT,2)))</f>
        <v>20.57</v>
      </c>
      <c r="L181" s="21"/>
      <c r="M181" s="97" t="s">
        <v>495</v>
      </c>
      <c r="N181" s="14">
        <f>IF(OR(TG8*PAYFACT&lt;=LIE2,(N173-TXCREDIT2)/PAYFACT2&lt;=0),0,IF(N173-TXCREDIT2/PAYFACT2&gt;0,ROUND((N173-TXCREDIT2)/PAYFACT2,2)))</f>
        <v>16.96</v>
      </c>
      <c r="P181" s="98" t="s">
        <v>465</v>
      </c>
      <c r="Q181" s="14">
        <f>IF(OR(TG14*PAYFACT&lt;=LIE3,(Q173-TXCREDIT3)/PAYFACT3&lt;=0),0,IF(Q173-TXCREDIT3/PAYFACT3&gt;0,ROUND((Q173-TXCREDIT3)/PAYFACT3,2)))</f>
        <v>16.96</v>
      </c>
      <c r="T181" s="21"/>
    </row>
    <row r="182" spans="10:20" ht="12.75">
      <c r="J182" s="9" t="s">
        <v>164</v>
      </c>
      <c r="K182" s="14">
        <f>IF(OR(TG3*PAYFACT&lt;=LIE,(K174-TXCREDIT)/PAYFACT&lt;=0),0,IF(K174-TXCREDIT/PAYFACT&gt;0,ROUND((K174-TXCREDIT)/PAYFACT,2)))</f>
        <v>43.89</v>
      </c>
      <c r="L182" s="21"/>
      <c r="M182" s="97" t="s">
        <v>502</v>
      </c>
      <c r="N182" s="14">
        <f>IF(OR(TG9*PAYFACT2&lt;=LIE2,(N174-TXCREDIT2)/PAYFACT2&lt;=0),0,IF(N174-TXCREDIT2/PAYFACT2&gt;0,ROUND((N174-TXCREDIT2)/PAYFACT2,2)))</f>
        <v>37.69</v>
      </c>
      <c r="P182" s="98" t="s">
        <v>449</v>
      </c>
      <c r="Q182" s="14">
        <f>IF(OR(TG15*PAYFACT3&lt;=LIE3,(Q174-TXCREDIT3)/PAYFACT3&lt;=0),0,IF(Q174-TXCREDIT3/PAYFACT3&gt;0,ROUND((Q174-TXCREDIT3)/PAYFACT3,2)))</f>
        <v>37.69</v>
      </c>
      <c r="T182" s="21"/>
    </row>
    <row r="183" spans="10:20" ht="12.75">
      <c r="J183" s="9" t="s">
        <v>165</v>
      </c>
      <c r="K183" s="14">
        <f>IF(OR(TG4*PAYFACT&lt;=LIE,(K175-TXCREDIT)/PAYFACT&lt;=0),0,IF(K175-TXCREDIT/PAYFACT&gt;0,ROUND((K175-TXCREDIT)/PAYFACT,2)))</f>
        <v>89.01</v>
      </c>
      <c r="L183" s="21"/>
      <c r="M183" s="97" t="s">
        <v>509</v>
      </c>
      <c r="N183" s="14">
        <f>IF(OR(TG10*PAYFACT2&lt;=LIE2,(N175-TXCREDIT2)/PAYFACT2&lt;=0),0,IF(N175-TXCREDIT2/PAYFACT2&gt;0,ROUND((N175-TXCREDIT2)/PAYFACT2,2)))</f>
        <v>79.1</v>
      </c>
      <c r="P183" s="98" t="s">
        <v>433</v>
      </c>
      <c r="Q183" s="14">
        <f>IF(OR(TG16*PAYFACT3&lt;=LIE3,(Q175-TXCREDIT3)/PAYFACT3&lt;=0),0,IF(Q175-TXCREDIT3/PAYFACT3&gt;0,ROUND((Q175-TXCREDIT3)/PAYFACT3,2)))</f>
        <v>79.1</v>
      </c>
      <c r="T183" s="21"/>
    </row>
    <row r="184" spans="10:20" ht="12.75">
      <c r="J184" s="9" t="s">
        <v>166</v>
      </c>
      <c r="K184" s="14">
        <f>IF(OR(TG5*PAYFACT&lt;=LIE,(K176-TXCREDIT)/PAYFACT&lt;=0),0,IF(K176-TXCREDIT/PAYFACT&gt;0,ROUND((K176-TXCREDIT)/PAYFACT,2)))</f>
        <v>22.63</v>
      </c>
      <c r="L184" s="21"/>
      <c r="M184" s="97" t="s">
        <v>516</v>
      </c>
      <c r="N184" s="14">
        <f>IF(OR(TG10*PAYFACT2&lt;=LIE2,(N176-TXCREDIT2)/PAYFACT2&lt;=0),0,IF(N176-TXCREDIT2/PAYFACT2&gt;0,ROUND((N176-TXCREDIT2)/PAYFACT2,2)))</f>
        <v>79.1</v>
      </c>
      <c r="P184" s="98" t="s">
        <v>417</v>
      </c>
      <c r="Q184" s="14">
        <f>IF(OR(TG17*PAYFACT3&lt;=LIE3,(Q176-TXCREDIT3)/PAYFACT3&lt;=0),0,IF(Q176-TXCREDIT3/PAYFACT3&gt;0,ROUND((Q176-TXCREDIT3)/PAYFACT3,2)))</f>
        <v>79.1</v>
      </c>
      <c r="T184" s="21"/>
    </row>
    <row r="185" spans="10:20" ht="12.75">
      <c r="J185" s="9" t="s">
        <v>167</v>
      </c>
      <c r="K185" s="14">
        <f>IF(OR(TG6*PAYFACT&lt;=LIE,(K177-TXCREDIT)/PAYFACT&lt;=0),0,IF(K177-TXCREDIT/PAYFACT&gt;0,ROUND((K177-TXCREDIT)/PAYFACT,2)))</f>
        <v>48.28</v>
      </c>
      <c r="L185" s="21"/>
      <c r="M185" s="97" t="s">
        <v>523</v>
      </c>
      <c r="N185" s="14">
        <f>IF(OR(TG12*PAYFACT2&lt;=LIE2,(N177-TXCREDIT2)/PAYFACT2&lt;=0),0,IF(N177-TXCREDIT2/PAYFACT2&gt;0,ROUND((N177-TXCREDIT2)/PAYFACT2,2)))</f>
        <v>79.1</v>
      </c>
      <c r="P185" s="98" t="s">
        <v>401</v>
      </c>
      <c r="Q185" s="14">
        <f>IF(OR(TG18*PAYFACT3&lt;=LIE3,(Q177-TXCREDIT3)/PAYFACT3&lt;=0),0,IF(Q177-TXCREDIT3/PAYFACT3&gt;0,ROUND((Q177-TXCREDIT3)/PAYFACT3,2)))</f>
        <v>79.1</v>
      </c>
      <c r="T185" s="21"/>
    </row>
    <row r="186" ht="12.75">
      <c r="T186" s="21"/>
    </row>
  </sheetData>
  <sheetProtection/>
  <mergeCells count="4">
    <mergeCell ref="J1:K1"/>
    <mergeCell ref="M47:N47"/>
    <mergeCell ref="P47:Q47"/>
    <mergeCell ref="J47:K47"/>
  </mergeCells>
  <printOptions/>
  <pageMargins left="0.75" right="0.75" top="1" bottom="1" header="0.5" footer="0.5"/>
  <pageSetup horizontalDpi="600" verticalDpi="600" orientation="landscape" r:id="rId2"/>
  <headerFooter alignWithMargins="0">
    <oddHeader>&amp;C&amp;f</oddHeader>
    <oddFooter>&amp;CPage &amp;p</oddFooter>
  </headerFooter>
  <ignoredErrors>
    <ignoredError sqref="C29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Butch Massoni</Manager>
  <Company>Sacs Unit</Company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IDL Supplementation</dc:title>
  <dc:subject>IDL/S 2009 Tax Year</dc:subject>
  <dc:creator>State Controller's Office/PPSD - Johnie Pennington</dc:creator>
  <cp:keywords/>
  <dc:description>Production 08/2009</dc:description>
  <cp:lastModifiedBy>Ayala, Nancy E.</cp:lastModifiedBy>
  <cp:lastPrinted>2010-05-13T15:27:30Z</cp:lastPrinted>
  <dcterms:created xsi:type="dcterms:W3CDTF">2001-09-13T14:13:59Z</dcterms:created>
  <dcterms:modified xsi:type="dcterms:W3CDTF">2015-05-04T19:34:24Z</dcterms:modified>
  <cp:category>Tax Year 2009</cp:category>
  <cp:version/>
  <cp:contentType/>
  <cp:contentStatus/>
</cp:coreProperties>
</file>