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300" activeTab="0"/>
  </bookViews>
  <sheets>
    <sheet name="calc" sheetId="1" r:id="rId1"/>
  </sheets>
  <definedNames>
    <definedName name="ADDALLOW">'calc'!$J$91</definedName>
    <definedName name="CAT">'calc'!$B$5</definedName>
    <definedName name="DCA1">'calc'!$B$23</definedName>
    <definedName name="DCA2">'calc'!$C$23</definedName>
    <definedName name="DCA3">'calc'!$D$23</definedName>
    <definedName name="DCA4">'calc'!$E$23</definedName>
    <definedName name="DCA5">'calc'!$F$23</definedName>
    <definedName name="DCA6">'calc'!$G$23</definedName>
    <definedName name="DED1">'calc'!$L$8</definedName>
    <definedName name="DED2">'calc'!$L$9</definedName>
    <definedName name="DED3">'calc'!$L$10</definedName>
    <definedName name="DED4">'calc'!$L$11</definedName>
    <definedName name="EMPCR">'calc'!$L$18:$M$89</definedName>
    <definedName name="EPMC">'calc'!$J$9</definedName>
    <definedName name="EPMC_">'calc'!$J$8</definedName>
    <definedName name="EPMC2">'calc'!$M$15</definedName>
    <definedName name="EPMCD">'calc'!$J$7</definedName>
    <definedName name="FAN1">'calc'!$J$25</definedName>
    <definedName name="FBSA1">'calc'!$J$42</definedName>
    <definedName name="FBST1">'calc'!$J$58</definedName>
    <definedName name="Fed_Claim_Dpnts">'calc'!$B$12</definedName>
    <definedName name="Fed_Deds">'calc'!$B$14</definedName>
    <definedName name="Fed_Oth_Inc">'calc'!$B$13</definedName>
    <definedName name="FEDE">'calc'!$B$10</definedName>
    <definedName name="FEDERAL">'calc'!$O$1:$Q$27</definedName>
    <definedName name="FEDEXM">'calc'!$J$23</definedName>
    <definedName name="FEDEXMPT">'calc'!$O$2</definedName>
    <definedName name="FedHW">'calc'!$B$11</definedName>
    <definedName name="FEDM">'calc'!$B$9</definedName>
    <definedName name="FEDM_HW">'calc'!$K$22</definedName>
    <definedName name="Flex_Cash">'calc'!$B$19</definedName>
    <definedName name="FMTR1">'calc'!$J$50</definedName>
    <definedName name="FMTR2">'calc'!$J$51</definedName>
    <definedName name="FMTR3">'calc'!$J$52</definedName>
    <definedName name="FMTR4">'calc'!$J$53</definedName>
    <definedName name="FMTR5">'calc'!$J$54</definedName>
    <definedName name="FMTR6">'calc'!$J$55</definedName>
    <definedName name="FOVR1">'calc'!$J$66</definedName>
    <definedName name="FTA1">'calc'!$J$74</definedName>
    <definedName name="FTAX1">'calc'!$J$82</definedName>
    <definedName name="FTAX2">'calc'!$J$83</definedName>
    <definedName name="FTAX3">'calc'!$J$84</definedName>
    <definedName name="FTAX4">'calc'!$J$85</definedName>
    <definedName name="FTAX5">'calc'!$J$86</definedName>
    <definedName name="FTAX6">'calc'!$J$87</definedName>
    <definedName name="FTG1">'calc'!$J$34</definedName>
    <definedName name="FTXBLH">'calc'!$O$31:$Q$38</definedName>
    <definedName name="FTXTBLHHW">'calc'!$O$65:$Q$72</definedName>
    <definedName name="FTXTBLM">'calc'!$O$19:$Q$26</definedName>
    <definedName name="FTXTBLMHW">'calc'!$O$54:$Q$61</definedName>
    <definedName name="FTXTBLSH">'calc'!$O$7:$Q$14</definedName>
    <definedName name="FTXTBLSHW">'calc'!$O$42:$Q$49</definedName>
    <definedName name="GROSS">'calc'!$B$3</definedName>
    <definedName name="INSTRUCTIONS">'calc'!$A$41:$G$63</definedName>
    <definedName name="IT">'calc'!$A$1:$G$26</definedName>
    <definedName name="LIE">'calc'!$J$90</definedName>
    <definedName name="LIEH">'calc'!$V$9</definedName>
    <definedName name="LIEM1">'calc'!$T$9</definedName>
    <definedName name="LIEM2">'calc'!$U$9</definedName>
    <definedName name="LIES">'calc'!$S$9</definedName>
    <definedName name="MACROS">'calc'!$AA$42:$AH$104</definedName>
    <definedName name="MD_">'calc'!$M$2</definedName>
    <definedName name="MED">'calc'!$J$3</definedName>
    <definedName name="MED_">'calc'!$J$2</definedName>
    <definedName name="NOMED_">'calc'!$M$3</definedName>
    <definedName name="NOOA_">'calc'!$L$3</definedName>
    <definedName name="OA_">'calc'!$L$2</definedName>
    <definedName name="OAC">'calc'!$B$8</definedName>
    <definedName name="OASDI">'calc'!$J$5</definedName>
    <definedName name="OASDI_">'calc'!$J$4</definedName>
    <definedName name="OPEB">'calc'!$J$6</definedName>
    <definedName name="OPEB_AC">'calc'!$B$6</definedName>
    <definedName name="OPEB_Table">'calc'!$P$80:$Q$199</definedName>
    <definedName name="PAYFACT">'calc'!$J$22</definedName>
    <definedName name="PER1">'calc'!$M$8</definedName>
    <definedName name="PER2">'calc'!$M$9</definedName>
    <definedName name="PER3">'calc'!$M$10</definedName>
    <definedName name="PER4">'calc'!$M$11</definedName>
    <definedName name="_xlnm.Print_Area" localSheetId="0">'calc'!$A$1:$G$37</definedName>
    <definedName name="RETID_TABLE">'calc'!$L$80:$O$549</definedName>
    <definedName name="SADDALL">'calc'!$S$3</definedName>
    <definedName name="SafetyCheck">'calc'!$M$16</definedName>
    <definedName name="SBSA1">'calc'!$J$107</definedName>
    <definedName name="SBST1">'calc'!$J$123</definedName>
    <definedName name="SDED">'calc'!$J$92</definedName>
    <definedName name="SDH">'calc'!$V$14</definedName>
    <definedName name="SDI">'calc'!$B$18</definedName>
    <definedName name="SDI1">'calc'!$J$12</definedName>
    <definedName name="SDIGRS">'calc'!$J$13</definedName>
    <definedName name="SDM1">'calc'!$T$14</definedName>
    <definedName name="SDM2">'calc'!$U$14</definedName>
    <definedName name="SDS">'calc'!$S$14</definedName>
    <definedName name="SMTR1">'calc'!$J$115</definedName>
    <definedName name="SMTR2">'calc'!$J$116</definedName>
    <definedName name="SMTR3">'calc'!$J$117</definedName>
    <definedName name="SMTR4">'calc'!$J$118</definedName>
    <definedName name="SMTR5">'calc'!$J$119</definedName>
    <definedName name="SMTR6">'calc'!$J$120</definedName>
    <definedName name="SOVR1">'calc'!$J$131</definedName>
    <definedName name="STA">'calc'!$B$17</definedName>
    <definedName name="STA1">'calc'!$J$139</definedName>
    <definedName name="STATE">'calc'!$S$1:$Z$100</definedName>
    <definedName name="STAX1">'calc'!$J$147</definedName>
    <definedName name="STAX2">'calc'!$J$148</definedName>
    <definedName name="STAX3">'calc'!$J$149</definedName>
    <definedName name="STAX4">'calc'!$J$150</definedName>
    <definedName name="STAX5">'calc'!$J$151</definedName>
    <definedName name="STAX6">'calc'!$J$152</definedName>
    <definedName name="STE">'calc'!$B$16</definedName>
    <definedName name="STG1">'calc'!$J$99</definedName>
    <definedName name="STM">'calc'!$B$15</definedName>
    <definedName name="STXTBLM">'calc'!$S$33:$U$45</definedName>
    <definedName name="STXTBLS">'calc'!$S$18:$U$30</definedName>
    <definedName name="STXTBLUH">'calc'!$S$47:$U$53</definedName>
    <definedName name="TCRM0">'calc'!$T$63</definedName>
    <definedName name="TCRM1">'calc'!$U$63</definedName>
    <definedName name="TCRM2">'calc'!$V$63</definedName>
    <definedName name="TCRMR">'calc'!$W$63</definedName>
    <definedName name="TCRS0">'calc'!$T$62</definedName>
    <definedName name="TCRS1">'calc'!$U$62</definedName>
    <definedName name="TCRS2">'calc'!$V$62</definedName>
    <definedName name="TCRSR">'calc'!$W$62</definedName>
    <definedName name="TG1">'calc'!$J$14</definedName>
    <definedName name="TG2">'calc'!$J$15</definedName>
    <definedName name="TG3">'calc'!$J$16</definedName>
    <definedName name="TG4">'calc'!$J$17</definedName>
    <definedName name="TG5">'calc'!$J$18</definedName>
    <definedName name="TG6">'calc'!$J$19</definedName>
    <definedName name="TIER">'calc'!$B$7</definedName>
    <definedName name="Total_A_R_Deductions">'calc'!$B$21</definedName>
    <definedName name="Total_Flex">'calc'!$B$20</definedName>
    <definedName name="TXCRB">'calc'!$J$93</definedName>
    <definedName name="TXCREDIT">'calc'!$J$96</definedName>
    <definedName name="TXCROV2">'calc'!$J$94</definedName>
    <definedName name="TXCRR">'calc'!$J$95</definedName>
    <definedName name="VOLDEDS">'calc'!$B$22</definedName>
    <definedName name="WORK">'calc'!$I$1:$M$164</definedName>
  </definedNames>
  <calcPr fullCalcOnLoad="1"/>
</workbook>
</file>

<file path=xl/sharedStrings.xml><?xml version="1.0" encoding="utf-8"?>
<sst xmlns="http://schemas.openxmlformats.org/spreadsheetml/2006/main" count="1397" uniqueCount="866">
  <si>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</si>
  <si>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</si>
  <si>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</si>
  <si>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</si>
  <si>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</si>
  <si>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</si>
  <si>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 xml:space="preserve"> </t>
  </si>
  <si>
    <t>MED%</t>
  </si>
  <si>
    <t>ADDITIONAL ALLOWANCES</t>
  </si>
  <si>
    <t>MED</t>
  </si>
  <si>
    <t>SS%</t>
  </si>
  <si>
    <t>Social Security /Medicare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</si>
  <si>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</si>
  <si>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</si>
  <si>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</si>
  <si>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</si>
  <si>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</si>
  <si>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</si>
  <si>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</si>
  <si>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</si>
  <si>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</si>
  <si>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</si>
  <si>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</si>
  <si>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</si>
  <si>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</si>
  <si>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</si>
  <si>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</si>
  <si>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</si>
  <si>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</si>
  <si>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</si>
  <si>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</si>
  <si>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</si>
  <si>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</si>
  <si>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</si>
  <si>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</si>
  <si>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</si>
  <si>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</si>
  <si>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</si>
  <si>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</si>
  <si>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</si>
  <si>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</si>
  <si>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</si>
  <si>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</si>
  <si>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</si>
  <si>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</si>
  <si>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</si>
  <si>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</si>
  <si>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</si>
  <si>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</si>
  <si>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</si>
  <si>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</si>
  <si>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</si>
  <si>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</si>
  <si>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</si>
  <si>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</si>
  <si>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</si>
  <si>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</si>
  <si>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</si>
  <si>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</si>
  <si>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</si>
  <si>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</si>
  <si>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</si>
  <si>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</si>
  <si>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</si>
  <si>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</si>
  <si>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</si>
  <si>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</si>
  <si>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</si>
  <si>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</si>
  <si>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</si>
  <si>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</si>
  <si>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</si>
  <si>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</si>
  <si>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</si>
  <si>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</si>
  <si>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</si>
  <si>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</si>
  <si>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</si>
  <si>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</si>
  <si>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</si>
  <si>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</si>
  <si>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</si>
  <si>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</si>
  <si>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</si>
  <si>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</si>
  <si>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</si>
  <si>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</si>
  <si>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</si>
  <si>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</si>
  <si>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</si>
  <si>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</si>
  <si>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</si>
  <si>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</si>
  <si>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</si>
  <si>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</si>
  <si>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</si>
  <si>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</si>
  <si>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</si>
  <si>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</si>
  <si>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</si>
  <si>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</si>
  <si>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</si>
  <si>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</si>
  <si>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</si>
  <si>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</si>
  <si>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</si>
  <si>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</si>
  <si>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</si>
  <si>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</si>
  <si>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</si>
  <si>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</si>
  <si>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</si>
  <si>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</si>
  <si>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</si>
  <si>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</si>
  <si>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</si>
  <si>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</si>
  <si>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</si>
  <si>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FTA1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</si>
  <si>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</si>
  <si>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</si>
  <si>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</si>
  <si>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</si>
  <si>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</si>
  <si>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</si>
  <si>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</si>
  <si>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</si>
  <si>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</si>
  <si>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</si>
  <si>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</si>
  <si>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</si>
  <si>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</si>
  <si>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</si>
  <si>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</si>
  <si>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</si>
  <si>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</si>
  <si>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</si>
  <si>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</si>
  <si>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</si>
  <si>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</si>
  <si>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</si>
  <si>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</si>
  <si>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</si>
  <si>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</si>
  <si>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</si>
  <si>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</si>
  <si>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</si>
  <si>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</si>
  <si>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</si>
  <si>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</si>
  <si>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</si>
  <si>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</si>
  <si>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</si>
  <si>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</si>
  <si>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</si>
  <si>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</si>
  <si>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</si>
  <si>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</si>
  <si>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</si>
  <si>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</si>
  <si>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</si>
  <si>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</si>
  <si>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</si>
  <si>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</si>
  <si>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</si>
  <si>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</si>
  <si>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</si>
  <si>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</si>
  <si>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</si>
  <si>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</si>
  <si>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</si>
  <si>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</si>
  <si>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</si>
  <si>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</si>
  <si>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</si>
  <si>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</si>
  <si>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</si>
  <si>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</si>
  <si>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</si>
  <si>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</si>
  <si>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</si>
  <si>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</si>
  <si>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</si>
  <si>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</si>
  <si>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</si>
  <si>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</si>
  <si>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</si>
  <si>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</si>
  <si>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</si>
  <si>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t>See instructions below</t>
  </si>
  <si>
    <t>M</t>
  </si>
  <si>
    <t>(Shown as FLEX CASH or COBEN CASH)</t>
  </si>
  <si>
    <t>COBEN CASH on your earnings statement/direct deposit advice.</t>
  </si>
  <si>
    <t>(YES, NO)</t>
  </si>
  <si>
    <t>SDI</t>
  </si>
  <si>
    <t>SDI1</t>
  </si>
  <si>
    <t>SDIGRS</t>
  </si>
  <si>
    <t>SDI Withheld</t>
  </si>
  <si>
    <t>SDI %</t>
  </si>
  <si>
    <t>NO</t>
  </si>
  <si>
    <t>Revision</t>
  </si>
  <si>
    <t>S</t>
  </si>
  <si>
    <t>Retirement Code</t>
  </si>
  <si>
    <t>AC</t>
  </si>
  <si>
    <t>EE Rate</t>
  </si>
  <si>
    <t>Exclusion Amount</t>
  </si>
  <si>
    <t>SS Med</t>
  </si>
  <si>
    <t>01</t>
  </si>
  <si>
    <t>02</t>
  </si>
  <si>
    <t>03</t>
  </si>
  <si>
    <t>04</t>
  </si>
  <si>
    <t>13</t>
  </si>
  <si>
    <t>14</t>
  </si>
  <si>
    <t>21</t>
  </si>
  <si>
    <t>22</t>
  </si>
  <si>
    <t>41</t>
  </si>
  <si>
    <t>44</t>
  </si>
  <si>
    <t>47</t>
  </si>
  <si>
    <t>4D</t>
  </si>
  <si>
    <t>4E</t>
  </si>
  <si>
    <t>4F</t>
  </si>
  <si>
    <t>4R</t>
  </si>
  <si>
    <t>4S</t>
  </si>
  <si>
    <t>4Y</t>
  </si>
  <si>
    <t>4Z</t>
  </si>
  <si>
    <t>91</t>
  </si>
  <si>
    <t>92</t>
  </si>
  <si>
    <t>95</t>
  </si>
  <si>
    <t>96</t>
  </si>
  <si>
    <t>98</t>
  </si>
  <si>
    <t>9D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</si>
  <si>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</si>
  <si>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</si>
  <si>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</si>
  <si>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</si>
  <si>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</si>
  <si>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</si>
  <si>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</si>
  <si>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</si>
  <si>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</si>
  <si>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</si>
  <si>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</si>
  <si>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</si>
  <si>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</si>
  <si>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</si>
  <si>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</si>
  <si>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</si>
  <si>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</si>
  <si>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</si>
  <si>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</si>
  <si>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</si>
  <si>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</si>
  <si>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</si>
  <si>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TM</t>
  </si>
  <si>
    <t>TX</t>
  </si>
  <si>
    <t>TY</t>
  </si>
  <si>
    <t>15</t>
  </si>
  <si>
    <t>16</t>
  </si>
  <si>
    <t>31</t>
  </si>
  <si>
    <t>32</t>
  </si>
  <si>
    <t>34</t>
  </si>
  <si>
    <t>36</t>
  </si>
  <si>
    <t>39</t>
  </si>
  <si>
    <t>3A</t>
  </si>
  <si>
    <t>3B</t>
  </si>
  <si>
    <t>3E</t>
  </si>
  <si>
    <t>3F</t>
  </si>
  <si>
    <t>3G</t>
  </si>
  <si>
    <t>3H</t>
  </si>
  <si>
    <t>3N</t>
  </si>
  <si>
    <t>3P</t>
  </si>
  <si>
    <t>3Q</t>
  </si>
  <si>
    <t>3R</t>
  </si>
  <si>
    <t>3W</t>
  </si>
  <si>
    <t>3Z</t>
  </si>
  <si>
    <t>50</t>
  </si>
  <si>
    <t>51</t>
  </si>
  <si>
    <t>52</t>
  </si>
  <si>
    <t>53</t>
  </si>
  <si>
    <t>54</t>
  </si>
  <si>
    <t>63</t>
  </si>
  <si>
    <t>64</t>
  </si>
  <si>
    <t>86</t>
  </si>
  <si>
    <t>87</t>
  </si>
  <si>
    <t>88</t>
  </si>
  <si>
    <t>89</t>
  </si>
  <si>
    <t>06</t>
  </si>
  <si>
    <t>10</t>
  </si>
  <si>
    <t>11</t>
  </si>
  <si>
    <t>12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</si>
  <si>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</si>
  <si>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</si>
  <si>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</si>
  <si>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</si>
  <si>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</si>
  <si>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</si>
  <si>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</si>
  <si>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</si>
  <si>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</si>
  <si>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</si>
  <si>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</si>
  <si>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</si>
  <si>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</si>
  <si>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</si>
  <si>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</si>
  <si>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</si>
  <si>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</si>
  <si>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</si>
  <si>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</si>
  <si>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</si>
  <si>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</si>
  <si>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</si>
  <si>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</si>
  <si>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</si>
  <si>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</si>
  <si>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</si>
  <si>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</si>
  <si>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</si>
  <si>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23</t>
  </si>
  <si>
    <t>2A</t>
  </si>
  <si>
    <t>2B</t>
  </si>
  <si>
    <t>2K</t>
  </si>
  <si>
    <t>2Q</t>
  </si>
  <si>
    <t>2S</t>
  </si>
  <si>
    <t>2T</t>
  </si>
  <si>
    <t>2U</t>
  </si>
  <si>
    <t>2V</t>
  </si>
  <si>
    <t>30</t>
  </si>
  <si>
    <t>33</t>
  </si>
  <si>
    <t>40</t>
  </si>
  <si>
    <t>42</t>
  </si>
  <si>
    <t>46</t>
  </si>
  <si>
    <t>48</t>
  </si>
  <si>
    <t>4C</t>
  </si>
  <si>
    <t>4K</t>
  </si>
  <si>
    <t>4M</t>
  </si>
  <si>
    <t>4N</t>
  </si>
  <si>
    <t>4U</t>
  </si>
  <si>
    <t>67</t>
  </si>
  <si>
    <t>68</t>
  </si>
  <si>
    <t>6J</t>
  </si>
  <si>
    <t>6K</t>
  </si>
  <si>
    <t>6L</t>
  </si>
  <si>
    <t>6M</t>
  </si>
  <si>
    <t>6P</t>
  </si>
  <si>
    <t>6R</t>
  </si>
  <si>
    <t>6V</t>
  </si>
  <si>
    <t>6W</t>
  </si>
  <si>
    <t>6X</t>
  </si>
  <si>
    <t>6Y</t>
  </si>
  <si>
    <t>6Z</t>
  </si>
  <si>
    <t>82</t>
  </si>
  <si>
    <t>83</t>
  </si>
  <si>
    <t>93</t>
  </si>
  <si>
    <t>97</t>
  </si>
  <si>
    <t>9E</t>
  </si>
  <si>
    <t>9F</t>
  </si>
  <si>
    <t>9H</t>
  </si>
  <si>
    <t>9J</t>
  </si>
  <si>
    <t>9R</t>
  </si>
  <si>
    <t>9S</t>
  </si>
  <si>
    <t>9T</t>
  </si>
  <si>
    <t>9V</t>
  </si>
  <si>
    <t>05</t>
  </si>
  <si>
    <t>07</t>
  </si>
  <si>
    <t>08</t>
  </si>
  <si>
    <t>09</t>
  </si>
  <si>
    <t>24</t>
  </si>
  <si>
    <t>25</t>
  </si>
  <si>
    <t>27</t>
  </si>
  <si>
    <t>2C</t>
  </si>
  <si>
    <t>2D</t>
  </si>
  <si>
    <t>2E</t>
  </si>
  <si>
    <t>2F</t>
  </si>
  <si>
    <t>2G</t>
  </si>
  <si>
    <t>2H</t>
  </si>
  <si>
    <t>2I</t>
  </si>
  <si>
    <t>2J</t>
  </si>
  <si>
    <t>2L</t>
  </si>
  <si>
    <t>2M</t>
  </si>
  <si>
    <t>2N</t>
  </si>
  <si>
    <t>2O</t>
  </si>
  <si>
    <t>2P</t>
  </si>
  <si>
    <t>2R</t>
  </si>
  <si>
    <t>2W</t>
  </si>
  <si>
    <t>2X</t>
  </si>
  <si>
    <t>2Y</t>
  </si>
  <si>
    <t>2Z</t>
  </si>
  <si>
    <t>3J</t>
  </si>
  <si>
    <t>3K</t>
  </si>
  <si>
    <t>3X</t>
  </si>
  <si>
    <t>3Y</t>
  </si>
  <si>
    <t>43</t>
  </si>
  <si>
    <t>45</t>
  </si>
  <si>
    <t>49</t>
  </si>
  <si>
    <t>4A</t>
  </si>
  <si>
    <t>4B</t>
  </si>
  <si>
    <t>4G</t>
  </si>
  <si>
    <t>4H</t>
  </si>
  <si>
    <t>4J</t>
  </si>
  <si>
    <t>4L</t>
  </si>
  <si>
    <t>4P</t>
  </si>
  <si>
    <t>4T</t>
  </si>
  <si>
    <t>4V</t>
  </si>
  <si>
    <t>4W</t>
  </si>
  <si>
    <t>4X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</si>
  <si>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</si>
  <si>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</si>
  <si>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</si>
  <si>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</si>
  <si>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</si>
  <si>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</si>
  <si>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</si>
  <si>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</si>
  <si>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</si>
  <si>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</si>
  <si>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5L</t>
  </si>
  <si>
    <t>5M</t>
  </si>
  <si>
    <t>5N</t>
  </si>
  <si>
    <t>5P</t>
  </si>
  <si>
    <t>5V</t>
  </si>
  <si>
    <t>5Y</t>
  </si>
  <si>
    <t>94</t>
  </si>
  <si>
    <t>99</t>
  </si>
  <si>
    <t>9A</t>
  </si>
  <si>
    <t>9B</t>
  </si>
  <si>
    <t>9C</t>
  </si>
  <si>
    <t>9G</t>
  </si>
  <si>
    <t>9K</t>
  </si>
  <si>
    <t>9L</t>
  </si>
  <si>
    <t>9M</t>
  </si>
  <si>
    <t>9N</t>
  </si>
  <si>
    <t>9P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</si>
  <si>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</si>
  <si>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</si>
  <si>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</si>
  <si>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</si>
  <si>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</si>
  <si>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</si>
  <si>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</si>
  <si>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</si>
  <si>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</si>
  <si>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</si>
  <si>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</si>
  <si>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</si>
  <si>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</si>
  <si>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</si>
  <si>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</si>
  <si>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</si>
  <si>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</si>
  <si>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</si>
  <si>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</si>
  <si>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</si>
  <si>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</si>
  <si>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</si>
  <si>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</si>
  <si>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</si>
  <si>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</si>
  <si>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</si>
  <si>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</si>
  <si>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</si>
  <si>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TE</t>
  </si>
  <si>
    <t>TF</t>
  </si>
  <si>
    <t>TG</t>
  </si>
  <si>
    <t>TH</t>
  </si>
  <si>
    <t>TJ</t>
  </si>
  <si>
    <t>TK</t>
  </si>
  <si>
    <t>TL</t>
  </si>
  <si>
    <t>TN</t>
  </si>
  <si>
    <t>TP</t>
  </si>
  <si>
    <t>TR</t>
  </si>
  <si>
    <t>TS</t>
  </si>
  <si>
    <t>TZ</t>
  </si>
  <si>
    <t>37</t>
  </si>
  <si>
    <t>3C</t>
  </si>
  <si>
    <t>3D</t>
  </si>
  <si>
    <t>3L</t>
  </si>
  <si>
    <t>3M</t>
  </si>
  <si>
    <t>3S</t>
  </si>
  <si>
    <t>3T</t>
  </si>
  <si>
    <t>3U</t>
  </si>
  <si>
    <t>3V</t>
  </si>
  <si>
    <t>55</t>
  </si>
  <si>
    <t>56</t>
  </si>
  <si>
    <t>5J</t>
  </si>
  <si>
    <t>5K</t>
  </si>
  <si>
    <t>5W</t>
  </si>
  <si>
    <t>5X</t>
  </si>
  <si>
    <t>61</t>
  </si>
  <si>
    <t>62</t>
  </si>
  <si>
    <t>6S</t>
  </si>
  <si>
    <t>6T</t>
  </si>
  <si>
    <t>Determined by Retirement Code</t>
  </si>
  <si>
    <t>Retirement Code - Please call your HR department for the Retirement Code</t>
  </si>
  <si>
    <t>NONE</t>
  </si>
  <si>
    <t>(Please call your HR for Ret. Code.)</t>
  </si>
  <si>
    <t>TC</t>
  </si>
  <si>
    <t>(M, S)</t>
  </si>
  <si>
    <t>Pay Frequency</t>
  </si>
  <si>
    <t>(M, S, B for Monthly, Semi-Monthly, and Bi-Weekly)</t>
  </si>
  <si>
    <t>s</t>
  </si>
  <si>
    <t>1st Half (1) or 2nd Half (2)</t>
  </si>
  <si>
    <t>If Monthly or Bi-Weekly, leave blank.  If Semi Monthly, see instructions below.</t>
  </si>
  <si>
    <t>(Gross Pay)</t>
  </si>
  <si>
    <t>This spreadsheet can be used to calculate net pay and withholding amounts for employees paid on a monthly,</t>
  </si>
  <si>
    <t xml:space="preserve">semi-monthly or bi-weekly basis.  By changing the marital status or number of exemptions, you can project 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</si>
  <si>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</si>
  <si>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</si>
  <si>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head of the column ($0, $100.00, $200.00, $300.00, $500.00, $625.00).  You can use these amounts to compare</t>
  </si>
  <si>
    <t>differences if you are considering making changes to your deferred compensation or TSA withholding amount.</t>
  </si>
  <si>
    <t>retirement exclusion to apply to the only semi-monthly payment issued for that specific pay period.  If the employee received first</t>
  </si>
  <si>
    <t>half pay and you are calculating second half pay, you must enter 2 in A6 so that the retirement exclusion will not apply a second</t>
  </si>
  <si>
    <t xml:space="preserve">exclusion = $513,  no retirement will be withheld from the first half payment).  In this case, the remainder of the retirement </t>
  </si>
  <si>
    <t>exclusion ($113) will apply to the second half payment and at this time the calculator is not programed for this calculation.  Manual</t>
  </si>
  <si>
    <t>calculations will be required, see PPM Section H for federal and state tax calculation instructions.</t>
  </si>
  <si>
    <t>4Q</t>
  </si>
  <si>
    <t>0A</t>
  </si>
  <si>
    <t>0B</t>
  </si>
  <si>
    <t>0C</t>
  </si>
  <si>
    <t>0D</t>
  </si>
  <si>
    <t>0E</t>
  </si>
  <si>
    <t>0F</t>
  </si>
  <si>
    <t>0G</t>
  </si>
  <si>
    <t>0H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</si>
  <si>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</si>
  <si>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</si>
  <si>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</si>
  <si>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</si>
  <si>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</si>
  <si>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</si>
  <si>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</si>
  <si>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</si>
  <si>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</si>
  <si>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</si>
  <si>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</si>
  <si>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</si>
  <si>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HEAD OF HOUSEHOLD</t>
  </si>
  <si>
    <t>00</t>
  </si>
  <si>
    <t xml:space="preserve">amount at the head of the column.  (NOTE: Also use this field to enter PERS adjustments and PERS/STRS Retirement buy back shown as  </t>
  </si>
  <si>
    <t xml:space="preserve">*PERS ADJ, *PERSREDPST, or *STRS REDST on your earnings statement/direct deposit advice.  </t>
  </si>
  <si>
    <t>Federal High Wage</t>
  </si>
  <si>
    <t>Federal Claim Dependents</t>
  </si>
  <si>
    <t>Federal Other Income</t>
  </si>
  <si>
    <t>Federal Deductions</t>
  </si>
  <si>
    <t>SINGLE HIGH WAGE</t>
  </si>
  <si>
    <t>NEW YORK STATE TAX</t>
  </si>
  <si>
    <t>Additional Exemptions State</t>
  </si>
  <si>
    <t>Enter annual dollar amount, see instructions below.</t>
  </si>
  <si>
    <t>(Y, N or Blank)  See Instructions below.</t>
  </si>
  <si>
    <t>This field must be completed when using revised STD 686 or STD 457 effective 12/2020.</t>
  </si>
  <si>
    <t>NOTE: (If there is no taxable gross reflected for an A/R on your earnings statement it must be included in</t>
  </si>
  <si>
    <t>the Total Voluntary Deductions field.  Many accounts receivable deductions are one time and not</t>
  </si>
  <si>
    <t>ongoing.  In this case you may want to exclude these from the calculations.)</t>
  </si>
  <si>
    <t>Do not complete if using revised STD 686 or STD 457 effective 12/2020.</t>
  </si>
  <si>
    <t>B1</t>
  </si>
  <si>
    <t>B3</t>
  </si>
  <si>
    <t>B4</t>
  </si>
  <si>
    <t>B5</t>
  </si>
  <si>
    <t>B6</t>
  </si>
  <si>
    <t>B9</t>
  </si>
  <si>
    <t>RA</t>
  </si>
  <si>
    <t>RB</t>
  </si>
  <si>
    <t>RC</t>
  </si>
  <si>
    <t>RD</t>
  </si>
  <si>
    <t>RE</t>
  </si>
  <si>
    <t>RF</t>
  </si>
  <si>
    <t>RG</t>
  </si>
  <si>
    <t>RH</t>
  </si>
  <si>
    <t>C3</t>
  </si>
  <si>
    <t>C4</t>
  </si>
  <si>
    <t>C9</t>
  </si>
  <si>
    <t>CB</t>
  </si>
  <si>
    <t>CC</t>
  </si>
  <si>
    <t>CD</t>
  </si>
  <si>
    <t>CE</t>
  </si>
  <si>
    <t>CF</t>
  </si>
  <si>
    <t>CG</t>
  </si>
  <si>
    <t>CH</t>
  </si>
  <si>
    <t>CJ</t>
  </si>
  <si>
    <t>CK</t>
  </si>
  <si>
    <t>CL</t>
  </si>
  <si>
    <t>CP</t>
  </si>
  <si>
    <t>CQ</t>
  </si>
  <si>
    <t>CR</t>
  </si>
  <si>
    <t>CS</t>
  </si>
  <si>
    <t>CT</t>
  </si>
  <si>
    <t>CV</t>
  </si>
  <si>
    <t>CW</t>
  </si>
  <si>
    <t>CX</t>
  </si>
  <si>
    <t>CY</t>
  </si>
  <si>
    <t>CZ</t>
  </si>
  <si>
    <t>D4</t>
  </si>
  <si>
    <t>D5</t>
  </si>
  <si>
    <t>D7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</si>
  <si>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</si>
  <si>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</si>
  <si>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</si>
  <si>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</si>
  <si>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</si>
  <si>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</si>
  <si>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</si>
  <si>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</si>
  <si>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</si>
  <si>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</si>
  <si>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</si>
  <si>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</si>
  <si>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</si>
  <si>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DO</t>
  </si>
  <si>
    <t>DP</t>
  </si>
  <si>
    <t>DQ</t>
  </si>
  <si>
    <t>DR</t>
  </si>
  <si>
    <t>DS</t>
  </si>
  <si>
    <t>DV</t>
  </si>
  <si>
    <t>DW</t>
  </si>
  <si>
    <t>E0</t>
  </si>
  <si>
    <t>E6</t>
  </si>
  <si>
    <t>EA</t>
  </si>
  <si>
    <t>EB</t>
  </si>
  <si>
    <t>EC</t>
  </si>
  <si>
    <t>ED</t>
  </si>
  <si>
    <t>EE</t>
  </si>
  <si>
    <t>EF</t>
  </si>
  <si>
    <t>EM</t>
  </si>
  <si>
    <t>ES</t>
  </si>
  <si>
    <t>ET</t>
  </si>
  <si>
    <t>EV</t>
  </si>
  <si>
    <t>EY</t>
  </si>
  <si>
    <t>F0</t>
  </si>
  <si>
    <t>F1</t>
  </si>
  <si>
    <t>F2</t>
  </si>
  <si>
    <t>F4</t>
  </si>
  <si>
    <t>F5</t>
  </si>
  <si>
    <t>F7</t>
  </si>
  <si>
    <t>F8</t>
  </si>
  <si>
    <t>F9</t>
  </si>
  <si>
    <t>FA</t>
  </si>
  <si>
    <t>FB</t>
  </si>
  <si>
    <t>FD</t>
  </si>
  <si>
    <t>FF</t>
  </si>
  <si>
    <t>FG</t>
  </si>
  <si>
    <t>FH</t>
  </si>
  <si>
    <t>FL</t>
  </si>
  <si>
    <t>FP</t>
  </si>
  <si>
    <t>FR</t>
  </si>
  <si>
    <t>FS</t>
  </si>
  <si>
    <t>FT</t>
  </si>
  <si>
    <t>FV</t>
  </si>
  <si>
    <t>FW</t>
  </si>
  <si>
    <t>FX</t>
  </si>
  <si>
    <t>FY</t>
  </si>
  <si>
    <t>G5</t>
  </si>
  <si>
    <t>GB</t>
  </si>
  <si>
    <t>GC</t>
  </si>
  <si>
    <t>GD</t>
  </si>
  <si>
    <t>GE</t>
  </si>
  <si>
    <t>GF</t>
  </si>
  <si>
    <t>GG</t>
  </si>
  <si>
    <t>GH</t>
  </si>
  <si>
    <t>GJ</t>
  </si>
  <si>
    <t>GK</t>
  </si>
  <si>
    <t>GV</t>
  </si>
  <si>
    <t>GX</t>
  </si>
  <si>
    <t>H1</t>
  </si>
  <si>
    <t>H2</t>
  </si>
  <si>
    <t>HJ</t>
  </si>
  <si>
    <t>HL</t>
  </si>
  <si>
    <t>HP</t>
  </si>
  <si>
    <t>HR</t>
  </si>
  <si>
    <t>HS</t>
  </si>
  <si>
    <t>HT</t>
  </si>
  <si>
    <t>HX</t>
  </si>
  <si>
    <t>HY</t>
  </si>
  <si>
    <t>SA</t>
  </si>
  <si>
    <t>SB</t>
  </si>
  <si>
    <t>SC</t>
  </si>
  <si>
    <t>SD</t>
  </si>
  <si>
    <t>SE</t>
  </si>
  <si>
    <t>SF</t>
  </si>
  <si>
    <t>SG</t>
  </si>
  <si>
    <t>SH</t>
  </si>
  <si>
    <t>SI</t>
  </si>
  <si>
    <t>SJ</t>
  </si>
  <si>
    <t>SK</t>
  </si>
  <si>
    <t>SL</t>
  </si>
  <si>
    <t>P2</t>
  </si>
  <si>
    <t>P5</t>
  </si>
  <si>
    <t>P6</t>
  </si>
  <si>
    <t>P7</t>
  </si>
  <si>
    <t>P8</t>
  </si>
  <si>
    <t>PA</t>
  </si>
  <si>
    <t>PB</t>
  </si>
  <si>
    <t>PC</t>
  </si>
  <si>
    <t>PD</t>
  </si>
  <si>
    <t>PE</t>
  </si>
  <si>
    <t>PF</t>
  </si>
  <si>
    <t>PG</t>
  </si>
  <si>
    <t>PH</t>
  </si>
  <si>
    <t>PJ</t>
  </si>
  <si>
    <t>PL</t>
  </si>
  <si>
    <t>PM</t>
  </si>
  <si>
    <t>PN</t>
  </si>
  <si>
    <t>PP</t>
  </si>
  <si>
    <t>PR</t>
  </si>
  <si>
    <t>PS</t>
  </si>
  <si>
    <t>PT</t>
  </si>
  <si>
    <t>PV</t>
  </si>
  <si>
    <t>PW</t>
  </si>
  <si>
    <t>PX</t>
  </si>
  <si>
    <t>PY</t>
  </si>
  <si>
    <t>OPEB CBID</t>
  </si>
  <si>
    <t>OPEB</t>
  </si>
  <si>
    <t>(Please contact your HR for OPEB CBID)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</si>
  <si>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</si>
  <si>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</si>
  <si>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</si>
  <si>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</si>
  <si>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</si>
  <si>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</si>
  <si>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</si>
  <si>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</si>
  <si>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</si>
  <si>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</si>
  <si>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</si>
  <si>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</si>
  <si>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</si>
  <si>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</si>
  <si>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</si>
  <si>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</si>
  <si>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</si>
  <si>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</si>
  <si>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</si>
  <si>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</si>
  <si>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</si>
  <si>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</si>
  <si>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</si>
  <si>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</si>
  <si>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</si>
  <si>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</si>
  <si>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</si>
  <si>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</si>
  <si>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</si>
  <si>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</si>
  <si>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</si>
  <si>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</si>
  <si>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</si>
  <si>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</si>
  <si>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</si>
  <si>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</si>
  <si>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</si>
  <si>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</si>
  <si>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</si>
  <si>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</si>
  <si>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</si>
  <si>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</si>
  <si>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E48</t>
  </si>
  <si>
    <t>E50</t>
  </si>
  <si>
    <t>E58</t>
  </si>
  <si>
    <t>E59</t>
  </si>
  <si>
    <t>E67</t>
  </si>
  <si>
    <t>E68</t>
  </si>
  <si>
    <t>E77</t>
  </si>
  <si>
    <t>E78</t>
  </si>
  <si>
    <t>E79</t>
  </si>
  <si>
    <t>E88</t>
  </si>
  <si>
    <t>E89</t>
  </si>
  <si>
    <t>E97</t>
  </si>
  <si>
    <t>E98</t>
  </si>
  <si>
    <t>E99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</si>
  <si>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</si>
  <si>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</si>
  <si>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</si>
  <si>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</si>
  <si>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</si>
  <si>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</si>
  <si>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</si>
  <si>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</si>
  <si>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</si>
  <si>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</si>
  <si>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</si>
  <si>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</si>
  <si>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</si>
  <si>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</si>
  <si>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</si>
  <si>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</si>
  <si>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</si>
  <si>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</si>
  <si>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</si>
  <si>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</si>
  <si>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</si>
  <si>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NON</t>
  </si>
  <si>
    <t>R01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</si>
  <si>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</si>
  <si>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</si>
  <si>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</si>
  <si>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</si>
  <si>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</si>
  <si>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</si>
  <si>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</si>
  <si>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</si>
  <si>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</si>
  <si>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</si>
  <si>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</si>
  <si>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</si>
  <si>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</si>
  <si>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</si>
  <si>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</si>
  <si>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</si>
  <si>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</si>
  <si>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</si>
  <si>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</si>
  <si>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</si>
  <si>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</si>
  <si>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</si>
  <si>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</si>
  <si>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</si>
  <si>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</si>
  <si>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</si>
  <si>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</si>
  <si>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</si>
  <si>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</si>
  <si>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</si>
  <si>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</si>
  <si>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</si>
  <si>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</si>
  <si>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</si>
  <si>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</si>
  <si>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</si>
  <si>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</si>
  <si>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</si>
  <si>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</si>
  <si>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</si>
  <si>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</si>
  <si>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OPEB Withheld</t>
  </si>
  <si>
    <t>OPEB CBID - Please call your HR department for your OPEB CBID.  Enter "Non" if you are not subject to OPEB contributions.</t>
  </si>
  <si>
    <t>YES</t>
  </si>
  <si>
    <t>5R</t>
  </si>
  <si>
    <t>5S</t>
  </si>
  <si>
    <t>GR</t>
  </si>
  <si>
    <t>GS</t>
  </si>
  <si>
    <t xml:space="preserve">Deduction Examples: Health, Dental, Vision, Medical Reimbursement Account, Dependent Care Reimbursement  </t>
  </si>
  <si>
    <t>accounts receivable deductions with no taxable gross etc…</t>
  </si>
  <si>
    <t>CALIFORNIA STATE CONTROLLER'S OFFICE PAYCHECK CALCULATOR-2023</t>
  </si>
  <si>
    <r>
      <t>Gross Pay</t>
    </r>
    <r>
      <rPr>
        <sz val="12"/>
        <rFont val="Calibri"/>
        <family val="2"/>
      </rPr>
      <t>-Enter your gross monthly pay.  This amount is shown on your earnings statement/direct deposit advice</t>
    </r>
  </si>
  <si>
    <r>
      <t xml:space="preserve">1st Half (1) or 2nd Half (2)- </t>
    </r>
    <r>
      <rPr>
        <sz val="12"/>
        <rFont val="Calibri"/>
        <family val="2"/>
      </rPr>
      <t xml:space="preserve"> If employee is semi-monthly, you must enter 1 in A6 to allow the retirement exclusion</t>
    </r>
  </si>
  <si>
    <r>
      <t>(</t>
    </r>
    <r>
      <rPr>
        <sz val="12"/>
        <color indexed="62"/>
        <rFont val="Calibri"/>
        <family val="2"/>
      </rPr>
      <t>e.g</t>
    </r>
    <r>
      <rPr>
        <sz val="12"/>
        <rFont val="Calibri"/>
        <family val="2"/>
      </rPr>
      <t xml:space="preserve">. </t>
    </r>
    <r>
      <rPr>
        <sz val="12"/>
        <color indexed="10"/>
        <rFont val="Calibri"/>
        <family val="2"/>
      </rPr>
      <t>-$513</t>
    </r>
    <r>
      <rPr>
        <sz val="12"/>
        <rFont val="Calibri"/>
        <family val="2"/>
      </rPr>
      <t xml:space="preserve">) to apply appropriately.  If the employee is only receiving second half pay, you must enter 1 in A6 to allow the </t>
    </r>
  </si>
  <si>
    <r>
      <t xml:space="preserve">time to the calcuations.  If the full amount of the retirement exclusion was not applied to the first half payment, </t>
    </r>
    <r>
      <rPr>
        <b/>
        <sz val="12"/>
        <rFont val="Calibri"/>
        <family val="2"/>
      </rPr>
      <t>you should not</t>
    </r>
  </si>
  <si>
    <r>
      <t xml:space="preserve">use the calculator to appropriately calculate the second half payment </t>
    </r>
    <r>
      <rPr>
        <sz val="12"/>
        <rFont val="Calibri"/>
        <family val="2"/>
      </rPr>
      <t xml:space="preserve">(e.g. first half gross = $400 and retirement </t>
    </r>
  </si>
  <si>
    <r>
      <t>Social Security/Medicare</t>
    </r>
    <r>
      <rPr>
        <sz val="12"/>
        <rFont val="Calibri"/>
        <family val="2"/>
      </rPr>
      <t>-Retirement Code driven (SS = Both, Med = Medicare Only, NO = Neither)</t>
    </r>
  </si>
  <si>
    <r>
      <t>Federal Marital Status</t>
    </r>
    <r>
      <rPr>
        <sz val="12"/>
        <rFont val="Calibri"/>
        <family val="2"/>
      </rPr>
      <t>-Enter any status (M=married, S=single, H=head of household) you want to check rates on.</t>
    </r>
  </si>
  <si>
    <r>
      <t>Number of Exemptions Fed</t>
    </r>
    <r>
      <rPr>
        <sz val="12"/>
        <rFont val="Calibri"/>
        <family val="2"/>
      </rPr>
      <t>-Enter the number of exemptions you want to compute federal tax with.</t>
    </r>
  </si>
  <si>
    <r>
      <t>Federal High Wage</t>
    </r>
    <r>
      <rPr>
        <sz val="12"/>
        <rFont val="Calibri"/>
        <family val="2"/>
      </rPr>
      <t>-Enter Y (Yes) for higher tax withholding, enter N (No) for not to higher tax withholding.</t>
    </r>
  </si>
  <si>
    <r>
      <t>Federal Claim Dependents</t>
    </r>
    <r>
      <rPr>
        <sz val="12"/>
        <rFont val="Calibri"/>
        <family val="2"/>
      </rPr>
      <t>-Enter annual amount for Child Tax Credit and the credits for other dependents.</t>
    </r>
  </si>
  <si>
    <r>
      <t>Federal Other Income</t>
    </r>
    <r>
      <rPr>
        <sz val="12"/>
        <rFont val="Calibri"/>
        <family val="2"/>
      </rPr>
      <t>-Enter dollar amount for other income for the year, do not include income from other jobs.</t>
    </r>
  </si>
  <si>
    <r>
      <t>Federal Deductions</t>
    </r>
    <r>
      <rPr>
        <sz val="12"/>
        <rFont val="Calibri"/>
        <family val="2"/>
      </rPr>
      <t>-Enter amount for other than the basic standard deductions.</t>
    </r>
  </si>
  <si>
    <r>
      <t>State Marital Status</t>
    </r>
    <r>
      <rPr>
        <sz val="12"/>
        <rFont val="Calibri"/>
        <family val="2"/>
      </rPr>
      <t>-Enter any status you want to check rates on. (NOTE: This calculates only California state tax.)</t>
    </r>
  </si>
  <si>
    <r>
      <t>Number of Exemptions State</t>
    </r>
    <r>
      <rPr>
        <sz val="12"/>
        <rFont val="Calibri"/>
        <family val="2"/>
      </rPr>
      <t xml:space="preserve">-Enter the number of exemptions you want to compute state tax with. (California only) </t>
    </r>
  </si>
  <si>
    <r>
      <t>Additional Exemptions State</t>
    </r>
    <r>
      <rPr>
        <sz val="12"/>
        <rFont val="Calibri"/>
        <family val="2"/>
      </rPr>
      <t>-Enter the number of additional exemptions you want to compute state tax with. (Calif. only)</t>
    </r>
  </si>
  <si>
    <r>
      <t>SDI</t>
    </r>
    <r>
      <rPr>
        <sz val="12"/>
        <rFont val="Calibri"/>
        <family val="2"/>
      </rPr>
      <t>-Enter YES if you are covered by the SDI program, enter NO if you are not.</t>
    </r>
  </si>
  <si>
    <r>
      <t>Flex Cash Option</t>
    </r>
    <r>
      <rPr>
        <sz val="12"/>
        <rFont val="Calibri"/>
        <family val="2"/>
      </rPr>
      <t xml:space="preserve">-Enter the amount of flex cash option that you receive.  This shows as FLEX CASH or </t>
    </r>
  </si>
  <si>
    <r>
      <t>Total Other Flex Deductions (Pre-Tax)</t>
    </r>
    <r>
      <rPr>
        <sz val="12"/>
        <rFont val="Calibri"/>
        <family val="2"/>
      </rPr>
      <t xml:space="preserve">-Enter the sum of all flex deductions as indicated by the  " * "  next to it </t>
    </r>
  </si>
  <si>
    <t>EXCEPTIONS: FLEX CASH, COBEN CASH, OPEB, *TSA, *DC-457, *457, *401K, *403B, *PERSREDPST or *STRS REDST.</t>
  </si>
  <si>
    <r>
      <t>Total A/R Deductions</t>
    </r>
    <r>
      <rPr>
        <sz val="12"/>
        <rFont val="Calibri"/>
        <family val="2"/>
      </rPr>
      <t>-Enter the sum of all accounts receivable deductions that you wish to use in this</t>
    </r>
  </si>
  <si>
    <r>
      <t>Total Voluntary Deductions (Post-Tax)</t>
    </r>
    <r>
      <rPr>
        <sz val="12"/>
        <rFont val="Calibri"/>
        <family val="2"/>
      </rPr>
      <t xml:space="preserve">-Enter the sum of all other deductions you have that are not covered in the </t>
    </r>
  </si>
  <si>
    <t xml:space="preserve">categories above (exluding all *). These may include things such as credit union deductions, union dues, administrative fees, </t>
  </si>
  <si>
    <r>
      <t>Deferred Comp/TSA</t>
    </r>
    <r>
      <rPr>
        <u val="single"/>
        <sz val="12"/>
        <rFont val="Calibri"/>
        <family val="2"/>
      </rPr>
      <t>**</t>
    </r>
    <r>
      <rPr>
        <sz val="12"/>
        <rFont val="Calibri"/>
        <family val="2"/>
      </rPr>
      <t>-Use this field to enter any Deferred Compensation/TSA amount that you want to see calculations</t>
    </r>
  </si>
  <si>
    <t>rev. 2/15/23 font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</si>
</sst>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"/>
    <numFmt numFmtId="172" formatCode="0_);\(0\)"/>
    <numFmt numFmtId="173" formatCode="0.000_);\(0.000\)"/>
    <numFmt numFmtId="174" formatCode="0.0000"/>
    <numFmt numFmtId="175" formatCode="[$-409]dddd\,\ mmmm\ dd\,\ yyyy"/>
    <numFmt numFmtId="176" formatCode="[$-409]hh:mm:ss\ AM/PM"/>
    <numFmt numFmtId="177" formatCode="0.00000"/>
    <numFmt numFmtId="178" formatCode="#,##0.000\ ;\(#,##0.000\)"/>
    <numFmt numFmtId="179" formatCode="#,##0.00000\ ;\(#,##0.00000\)"/>
    <numFmt numFmtId="180" formatCode="#,##0.0000_);\(#,##0.0000\)"/>
    <numFmt numFmtId="181" formatCode="#,##0.000_);\(#,##0.0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8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ms Rm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ms Rm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20"/>
      <name val="Calibri"/>
      <family val="2"/>
    </font>
    <font>
      <sz val="12"/>
      <color indexed="10"/>
      <name val="Calibri"/>
      <family val="2"/>
    </font>
    <font>
      <sz val="11"/>
      <name val="Calibri"/>
      <family val="2"/>
    </font>
    <font>
      <b/>
      <sz val="12"/>
      <color indexed="20"/>
      <name val="Calibri"/>
      <family val="2"/>
    </font>
    <font>
      <sz val="12"/>
      <color indexed="12"/>
      <name val="Calibri"/>
      <family val="2"/>
    </font>
    <font>
      <sz val="8"/>
      <name val="Calibri"/>
      <family val="2"/>
    </font>
    <font>
      <b/>
      <u val="single"/>
      <sz val="12"/>
      <name val="Calibri"/>
      <family val="2"/>
    </font>
    <font>
      <sz val="12"/>
      <color indexed="62"/>
      <name val="Calibri"/>
      <family val="2"/>
    </font>
    <font>
      <sz val="12"/>
      <color indexed="8"/>
      <name val="Calibri"/>
      <family val="2"/>
    </font>
    <font>
      <u val="single"/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ms Rm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ms Rm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1"/>
        <bgColor indexed="9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21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4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 applyProtection="1">
      <alignment/>
      <protection locked="0"/>
    </xf>
    <xf numFmtId="0" fontId="25" fillId="0" borderId="0" xfId="0" applyFont="1" applyAlignment="1">
      <alignment horizontal="left"/>
    </xf>
    <xf numFmtId="166" fontId="25" fillId="0" borderId="0" xfId="0" applyNumberFormat="1" applyFont="1" applyAlignment="1">
      <alignment/>
    </xf>
    <xf numFmtId="14" fontId="25" fillId="0" borderId="0" xfId="0" applyNumberFormat="1" applyFont="1" applyAlignment="1">
      <alignment horizontal="left"/>
    </xf>
    <xf numFmtId="164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25" fillId="0" borderId="10" xfId="0" applyFont="1" applyBorder="1" applyAlignment="1">
      <alignment horizontal="left"/>
    </xf>
    <xf numFmtId="7" fontId="26" fillId="0" borderId="11" xfId="0" applyNumberFormat="1" applyFont="1" applyBorder="1" applyAlignment="1" applyProtection="1">
      <alignment horizontal="right"/>
      <protection locked="0"/>
    </xf>
    <xf numFmtId="0" fontId="25" fillId="0" borderId="12" xfId="0" applyFont="1" applyBorder="1" applyAlignment="1">
      <alignment horizontal="left"/>
    </xf>
    <xf numFmtId="0" fontId="25" fillId="0" borderId="10" xfId="0" applyFont="1" applyBorder="1" applyAlignment="1">
      <alignment/>
    </xf>
    <xf numFmtId="0" fontId="25" fillId="0" borderId="13" xfId="0" applyFont="1" applyBorder="1" applyAlignment="1">
      <alignment/>
    </xf>
    <xf numFmtId="164" fontId="25" fillId="0" borderId="0" xfId="0" applyNumberFormat="1" applyFont="1" applyAlignment="1">
      <alignment/>
    </xf>
    <xf numFmtId="0" fontId="25" fillId="0" borderId="0" xfId="0" applyFont="1" applyBorder="1" applyAlignment="1">
      <alignment horizontal="left"/>
    </xf>
    <xf numFmtId="172" fontId="26" fillId="0" borderId="14" xfId="0" applyNumberFormat="1" applyFont="1" applyFill="1" applyBorder="1" applyAlignment="1" applyProtection="1">
      <alignment horizontal="right"/>
      <protection locked="0"/>
    </xf>
    <xf numFmtId="0" fontId="25" fillId="0" borderId="15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0" xfId="0" applyFont="1" applyFill="1" applyAlignment="1">
      <alignment horizontal="left"/>
    </xf>
    <xf numFmtId="49" fontId="26" fillId="0" borderId="14" xfId="0" applyNumberFormat="1" applyFont="1" applyFill="1" applyBorder="1" applyAlignment="1" applyProtection="1">
      <alignment horizontal="right"/>
      <protection locked="0"/>
    </xf>
    <xf numFmtId="0" fontId="25" fillId="33" borderId="15" xfId="0" applyFont="1" applyFill="1" applyBorder="1" applyAlignment="1">
      <alignment horizontal="left"/>
    </xf>
    <xf numFmtId="0" fontId="25" fillId="33" borderId="0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25" fillId="0" borderId="0" xfId="0" applyFont="1" applyAlignment="1">
      <alignment horizontal="right"/>
    </xf>
    <xf numFmtId="0" fontId="25" fillId="33" borderId="0" xfId="0" applyFont="1" applyFill="1" applyBorder="1" applyAlignment="1">
      <alignment horizontal="left"/>
    </xf>
    <xf numFmtId="0" fontId="26" fillId="0" borderId="14" xfId="0" applyFont="1" applyBorder="1" applyAlignment="1" applyProtection="1">
      <alignment horizontal="right"/>
      <protection locked="0"/>
    </xf>
    <xf numFmtId="39" fontId="25" fillId="0" borderId="0" xfId="0" applyNumberFormat="1" applyFont="1" applyAlignment="1">
      <alignment horizontal="right"/>
    </xf>
    <xf numFmtId="2" fontId="25" fillId="0" borderId="0" xfId="0" applyNumberFormat="1" applyFont="1" applyBorder="1" applyAlignment="1">
      <alignment horizontal="right"/>
    </xf>
    <xf numFmtId="0" fontId="26" fillId="0" borderId="14" xfId="0" applyFont="1" applyBorder="1" applyAlignment="1" applyProtection="1">
      <alignment horizontal="right"/>
      <protection/>
    </xf>
    <xf numFmtId="167" fontId="25" fillId="0" borderId="0" xfId="0" applyNumberFormat="1" applyFont="1" applyAlignment="1">
      <alignment/>
    </xf>
    <xf numFmtId="0" fontId="25" fillId="0" borderId="0" xfId="0" applyFont="1" applyFill="1" applyAlignment="1">
      <alignment horizontal="right"/>
    </xf>
    <xf numFmtId="164" fontId="25" fillId="34" borderId="17" xfId="0" applyNumberFormat="1" applyFont="1" applyFill="1" applyBorder="1" applyAlignment="1">
      <alignment/>
    </xf>
    <xf numFmtId="165" fontId="25" fillId="0" borderId="0" xfId="0" applyNumberFormat="1" applyFont="1" applyFill="1" applyAlignment="1">
      <alignment/>
    </xf>
    <xf numFmtId="0" fontId="56" fillId="0" borderId="0" xfId="0" applyFont="1" applyAlignment="1">
      <alignment/>
    </xf>
    <xf numFmtId="7" fontId="25" fillId="0" borderId="0" xfId="0" applyNumberFormat="1" applyFont="1" applyAlignment="1">
      <alignment/>
    </xf>
    <xf numFmtId="0" fontId="25" fillId="35" borderId="0" xfId="0" applyFont="1" applyFill="1" applyAlignment="1">
      <alignment horizontal="left"/>
    </xf>
    <xf numFmtId="7" fontId="25" fillId="36" borderId="0" xfId="0" applyNumberFormat="1" applyFont="1" applyFill="1" applyAlignment="1">
      <alignment/>
    </xf>
    <xf numFmtId="39" fontId="25" fillId="0" borderId="0" xfId="0" applyNumberFormat="1" applyFont="1" applyFill="1" applyAlignment="1">
      <alignment/>
    </xf>
    <xf numFmtId="7" fontId="25" fillId="37" borderId="0" xfId="0" applyNumberFormat="1" applyFont="1" applyFill="1" applyAlignment="1">
      <alignment/>
    </xf>
    <xf numFmtId="181" fontId="25" fillId="0" borderId="0" xfId="0" applyNumberFormat="1" applyFont="1" applyFill="1" applyAlignment="1">
      <alignment/>
    </xf>
    <xf numFmtId="7" fontId="25" fillId="0" borderId="16" xfId="0" applyNumberFormat="1" applyFont="1" applyBorder="1" applyAlignment="1">
      <alignment/>
    </xf>
    <xf numFmtId="167" fontId="25" fillId="0" borderId="0" xfId="0" applyNumberFormat="1" applyFont="1" applyFill="1" applyAlignment="1">
      <alignment/>
    </xf>
    <xf numFmtId="0" fontId="25" fillId="0" borderId="0" xfId="0" applyFont="1" applyAlignment="1" applyProtection="1">
      <alignment horizontal="left"/>
      <protection/>
    </xf>
    <xf numFmtId="167" fontId="25" fillId="0" borderId="0" xfId="0" applyNumberFormat="1" applyFont="1" applyFill="1" applyAlignment="1">
      <alignment horizontal="right"/>
    </xf>
    <xf numFmtId="174" fontId="25" fillId="0" borderId="0" xfId="0" applyNumberFormat="1" applyFont="1" applyFill="1" applyAlignment="1">
      <alignment/>
    </xf>
    <xf numFmtId="7" fontId="26" fillId="0" borderId="14" xfId="0" applyNumberFormat="1" applyFont="1" applyBorder="1" applyAlignment="1" applyProtection="1">
      <alignment horizontal="right"/>
      <protection locked="0"/>
    </xf>
    <xf numFmtId="0" fontId="25" fillId="0" borderId="18" xfId="0" applyFont="1" applyBorder="1" applyAlignment="1">
      <alignment horizontal="left"/>
    </xf>
    <xf numFmtId="0" fontId="28" fillId="0" borderId="0" xfId="0" applyFont="1" applyAlignment="1">
      <alignment vertical="center"/>
    </xf>
    <xf numFmtId="0" fontId="25" fillId="0" borderId="19" xfId="0" applyFont="1" applyBorder="1" applyAlignment="1">
      <alignment horizontal="left"/>
    </xf>
    <xf numFmtId="7" fontId="29" fillId="0" borderId="20" xfId="0" applyNumberFormat="1" applyFont="1" applyBorder="1" applyAlignment="1" applyProtection="1">
      <alignment/>
      <protection locked="0"/>
    </xf>
    <xf numFmtId="7" fontId="24" fillId="0" borderId="21" xfId="0" applyNumberFormat="1" applyFont="1" applyBorder="1" applyAlignment="1" applyProtection="1">
      <alignment/>
      <protection locked="0"/>
    </xf>
    <xf numFmtId="0" fontId="30" fillId="0" borderId="0" xfId="0" applyFont="1" applyAlignment="1">
      <alignment horizontal="left"/>
    </xf>
    <xf numFmtId="7" fontId="30" fillId="0" borderId="22" xfId="0" applyNumberFormat="1" applyFont="1" applyFill="1" applyBorder="1" applyAlignment="1">
      <alignment/>
    </xf>
    <xf numFmtId="7" fontId="30" fillId="0" borderId="22" xfId="0" applyNumberFormat="1" applyFont="1" applyBorder="1" applyAlignment="1">
      <alignment/>
    </xf>
    <xf numFmtId="7" fontId="25" fillId="38" borderId="22" xfId="0" applyNumberFormat="1" applyFont="1" applyFill="1" applyBorder="1" applyAlignment="1">
      <alignment/>
    </xf>
    <xf numFmtId="7" fontId="25" fillId="0" borderId="22" xfId="0" applyNumberFormat="1" applyFont="1" applyBorder="1" applyAlignment="1">
      <alignment/>
    </xf>
    <xf numFmtId="2" fontId="25" fillId="0" borderId="0" xfId="0" applyNumberFormat="1" applyFont="1" applyFill="1" applyAlignment="1">
      <alignment horizontal="left"/>
    </xf>
    <xf numFmtId="7" fontId="25" fillId="0" borderId="23" xfId="0" applyNumberFormat="1" applyFont="1" applyBorder="1" applyAlignment="1">
      <alignment/>
    </xf>
    <xf numFmtId="0" fontId="31" fillId="0" borderId="0" xfId="0" applyFont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 applyProtection="1">
      <alignment horizontal="left"/>
      <protection locked="0"/>
    </xf>
    <xf numFmtId="0" fontId="32" fillId="0" borderId="0" xfId="0" applyFont="1" applyAlignment="1">
      <alignment/>
    </xf>
    <xf numFmtId="165" fontId="25" fillId="0" borderId="0" xfId="0" applyNumberFormat="1" applyFont="1" applyAlignment="1">
      <alignment/>
    </xf>
    <xf numFmtId="177" fontId="25" fillId="0" borderId="0" xfId="0" applyNumberFormat="1" applyFont="1" applyAlignment="1">
      <alignment/>
    </xf>
    <xf numFmtId="0" fontId="32" fillId="0" borderId="0" xfId="0" applyFont="1" applyAlignment="1">
      <alignment horizontal="left"/>
    </xf>
    <xf numFmtId="174" fontId="25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0" fontId="57" fillId="0" borderId="0" xfId="0" applyFont="1" applyAlignment="1">
      <alignment vertical="center"/>
    </xf>
    <xf numFmtId="0" fontId="57" fillId="0" borderId="0" xfId="0" applyNumberFormat="1" applyFont="1" applyAlignment="1">
      <alignment horizontal="right" vertical="center"/>
    </xf>
    <xf numFmtId="0" fontId="57" fillId="0" borderId="0" xfId="0" applyFont="1" applyAlignment="1">
      <alignment horizontal="right" vertical="center"/>
    </xf>
    <xf numFmtId="164" fontId="25" fillId="0" borderId="0" xfId="0" applyNumberFormat="1" applyFont="1" applyAlignment="1">
      <alignment horizontal="left"/>
    </xf>
    <xf numFmtId="0" fontId="32" fillId="0" borderId="0" xfId="0" applyFont="1" applyAlignment="1">
      <alignment/>
    </xf>
    <xf numFmtId="0" fontId="25" fillId="0" borderId="0" xfId="0" applyFont="1" applyAlignment="1">
      <alignment vertical="center"/>
    </xf>
    <xf numFmtId="179" fontId="25" fillId="0" borderId="0" xfId="0" applyNumberFormat="1" applyFont="1" applyAlignment="1">
      <alignment/>
    </xf>
    <xf numFmtId="0" fontId="25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/>
      <protection/>
    </xf>
    <xf numFmtId="0" fontId="36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0"/>
  <sheetViews>
    <sheetView showGridLines="0" tabSelected="1" zoomScale="98" zoomScaleNormal="98" zoomScalePageLayoutView="0" workbookViewId="0" topLeftCell="A1">
      <selection activeCell="B3" sqref="B3"/>
    </sheetView>
  </sheetViews>
  <sheetFormatPr defaultColWidth="11" defaultRowHeight="15"/>
  <cols>
    <col min="1" max="1" width="25.69921875" style="0" customWidth="1"/>
    <col min="2" max="2" width="12.19921875" style="0" customWidth="1"/>
    <col min="3" max="3" width="11.8984375" style="0" customWidth="1"/>
    <col min="4" max="4" width="13" style="0" customWidth="1"/>
    <col min="5" max="5" width="12.19921875" style="0" customWidth="1"/>
    <col min="6" max="6" width="11.8984375" style="0" customWidth="1"/>
    <col min="7" max="7" width="11.59765625" style="0" customWidth="1"/>
    <col min="8" max="8" width="9.8984375" style="0" customWidth="1"/>
    <col min="9" max="9" width="11.3984375" style="0" customWidth="1"/>
    <col min="10" max="10" width="11.8984375" style="0" customWidth="1"/>
    <col min="11" max="12" width="11" style="0" customWidth="1"/>
    <col min="13" max="13" width="9.8984375" style="0" customWidth="1"/>
    <col min="14" max="14" width="8.398437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19" width="10.59765625" style="0" customWidth="1"/>
    <col min="20" max="20" width="9.8984375" style="0" customWidth="1"/>
    <col min="21" max="21" width="11.8984375" style="0" customWidth="1"/>
    <col min="22" max="254" width="9.8984375" style="0" customWidth="1"/>
  </cols>
  <sheetData>
    <row r="1" spans="1:24" ht="18.75">
      <c r="A1" s="78" t="s">
        <v>841</v>
      </c>
      <c r="B1" s="2"/>
      <c r="C1" s="2"/>
      <c r="D1" s="2"/>
      <c r="E1" s="3"/>
      <c r="F1" s="3"/>
      <c r="G1" s="3"/>
      <c r="H1" s="2"/>
      <c r="I1" s="4" t="s">
        <v>0</v>
      </c>
      <c r="J1" s="2"/>
      <c r="K1" s="2" t="s">
        <v>200</v>
      </c>
      <c r="L1" s="4" t="s">
        <v>1</v>
      </c>
      <c r="M1" s="4" t="s">
        <v>2</v>
      </c>
      <c r="N1" s="4" t="s">
        <v>198</v>
      </c>
      <c r="O1" s="4" t="s">
        <v>3</v>
      </c>
      <c r="P1" s="2"/>
      <c r="Q1" s="2"/>
      <c r="R1" s="2"/>
      <c r="S1" s="4" t="s">
        <v>4</v>
      </c>
      <c r="T1" s="2"/>
      <c r="U1" s="2"/>
      <c r="V1" s="2"/>
      <c r="W1" s="2"/>
      <c r="X1" s="2"/>
    </row>
    <row r="2" spans="1:24" ht="19.5" thickBot="1">
      <c r="A2" s="2"/>
      <c r="B2" s="78" t="s">
        <v>545</v>
      </c>
      <c r="C2" s="2"/>
      <c r="D2" s="2"/>
      <c r="E2" s="3"/>
      <c r="F2" s="3"/>
      <c r="G2" s="3"/>
      <c r="H2" s="2"/>
      <c r="I2" s="4" t="s">
        <v>7</v>
      </c>
      <c r="J2" s="5">
        <f>IF(OAC="MED",MD_,IF(OAC="SS",MD_,0))</f>
        <v>0.0145</v>
      </c>
      <c r="K2" s="6" t="s">
        <v>865</v>
      </c>
      <c r="L2" s="2">
        <v>0.062</v>
      </c>
      <c r="M2" s="2">
        <v>0.0145</v>
      </c>
      <c r="N2" s="2">
        <v>0.009</v>
      </c>
      <c r="O2" s="7">
        <v>4300</v>
      </c>
      <c r="P2" s="8"/>
      <c r="Q2" s="8"/>
      <c r="R2" s="2"/>
      <c r="S2" s="4" t="s">
        <v>8</v>
      </c>
      <c r="T2" s="2"/>
      <c r="U2" s="2"/>
      <c r="V2" s="2"/>
      <c r="W2" s="2"/>
      <c r="X2" s="2"/>
    </row>
    <row r="3" spans="1:24" ht="15" customHeight="1">
      <c r="A3" s="9" t="s">
        <v>5</v>
      </c>
      <c r="B3" s="10">
        <v>8826</v>
      </c>
      <c r="C3" s="11" t="s">
        <v>503</v>
      </c>
      <c r="D3" s="12"/>
      <c r="E3" s="12"/>
      <c r="F3" s="12"/>
      <c r="G3" s="13" t="s">
        <v>6</v>
      </c>
      <c r="H3" s="2"/>
      <c r="I3" s="4" t="s">
        <v>9</v>
      </c>
      <c r="J3" s="14">
        <f>ROUND((GROSS+Flex_Cash-Total_Flex-OPEB)*MED_,2)</f>
        <v>119.8</v>
      </c>
      <c r="K3" s="2"/>
      <c r="L3" s="2">
        <v>0</v>
      </c>
      <c r="M3" s="2">
        <v>0</v>
      </c>
      <c r="N3" s="2"/>
      <c r="O3" s="8"/>
      <c r="P3" s="8"/>
      <c r="Q3" s="8"/>
      <c r="R3" s="14"/>
      <c r="S3" s="14">
        <v>1000</v>
      </c>
      <c r="T3" s="2"/>
      <c r="U3" s="2"/>
      <c r="V3" s="2"/>
      <c r="W3" s="2"/>
      <c r="X3" s="2"/>
    </row>
    <row r="4" spans="1:24" ht="15" customHeight="1">
      <c r="A4" s="15" t="s">
        <v>498</v>
      </c>
      <c r="B4" s="16" t="s">
        <v>190</v>
      </c>
      <c r="C4" s="17" t="s">
        <v>499</v>
      </c>
      <c r="D4" s="18"/>
      <c r="E4" s="18"/>
      <c r="F4" s="18"/>
      <c r="G4" s="19"/>
      <c r="H4" s="2"/>
      <c r="I4" s="4" t="s">
        <v>10</v>
      </c>
      <c r="J4" s="5">
        <f>IF(OR(OR(OR(OAC="NO",CAT="SAF"),CAT="PAT"),CAT="POF"),0,IF(OAC="SS",OA_,IF(OAC="MED",NOOA_,0)))</f>
        <v>0.062</v>
      </c>
      <c r="K4" s="2"/>
      <c r="L4" s="2" t="s">
        <v>6</v>
      </c>
      <c r="M4" s="2" t="s">
        <v>6</v>
      </c>
      <c r="N4" s="2"/>
      <c r="O4" s="20"/>
      <c r="P4" s="8" t="s">
        <v>26</v>
      </c>
      <c r="Q4" s="8"/>
      <c r="R4" s="2"/>
      <c r="S4" s="2"/>
      <c r="T4" s="2"/>
      <c r="U4" s="2"/>
      <c r="V4" s="2"/>
      <c r="W4" s="2"/>
      <c r="X4" s="2"/>
    </row>
    <row r="5" spans="1:24" ht="16.5" customHeight="1">
      <c r="A5" s="4" t="s">
        <v>202</v>
      </c>
      <c r="B5" s="21" t="s">
        <v>379</v>
      </c>
      <c r="C5" s="22" t="s">
        <v>495</v>
      </c>
      <c r="D5" s="23"/>
      <c r="E5" s="18"/>
      <c r="F5" s="18"/>
      <c r="G5" s="24"/>
      <c r="H5" s="2"/>
      <c r="I5" s="4" t="s">
        <v>12</v>
      </c>
      <c r="J5" s="14">
        <f>ROUND((GROSS+Flex_Cash-Total_Flex-OPEB)*OASDI_,2)</f>
        <v>512.25</v>
      </c>
      <c r="K5" s="2"/>
      <c r="L5" s="25"/>
      <c r="M5" s="4"/>
      <c r="N5" s="2"/>
      <c r="O5" s="20" t="s">
        <v>14</v>
      </c>
      <c r="P5" s="20" t="s">
        <v>15</v>
      </c>
      <c r="Q5" s="20" t="s">
        <v>16</v>
      </c>
      <c r="R5" s="2"/>
      <c r="S5" s="20" t="s">
        <v>17</v>
      </c>
      <c r="T5" s="8"/>
      <c r="U5" s="8"/>
      <c r="V5" s="8"/>
      <c r="W5" s="2"/>
      <c r="X5" s="2"/>
    </row>
    <row r="6" spans="1:24" ht="16.5" customHeight="1">
      <c r="A6" s="4" t="s">
        <v>709</v>
      </c>
      <c r="B6" s="21" t="s">
        <v>765</v>
      </c>
      <c r="C6" s="26" t="s">
        <v>711</v>
      </c>
      <c r="D6" s="23"/>
      <c r="E6" s="18"/>
      <c r="F6" s="18"/>
      <c r="G6" s="24"/>
      <c r="H6" s="2"/>
      <c r="I6" s="4" t="s">
        <v>710</v>
      </c>
      <c r="J6" s="14">
        <f>ROUND(GROSS*K6,2)</f>
        <v>211.82</v>
      </c>
      <c r="K6" s="2">
        <f>VLOOKUP(OPEB_AC,OPEB_Table,2,FALSE)</f>
        <v>0.024</v>
      </c>
      <c r="L6" s="25"/>
      <c r="M6" s="4"/>
      <c r="N6" s="2"/>
      <c r="O6" s="20"/>
      <c r="P6" s="20"/>
      <c r="Q6" s="20"/>
      <c r="R6" s="2"/>
      <c r="S6" s="20"/>
      <c r="T6" s="8"/>
      <c r="U6" s="8"/>
      <c r="V6" s="8"/>
      <c r="W6" s="2"/>
      <c r="X6" s="2"/>
    </row>
    <row r="7" spans="1:24" ht="16.5" customHeight="1">
      <c r="A7" s="4" t="s">
        <v>501</v>
      </c>
      <c r="B7" s="27"/>
      <c r="C7" s="17" t="s">
        <v>502</v>
      </c>
      <c r="D7" s="18"/>
      <c r="E7" s="18"/>
      <c r="F7" s="18"/>
      <c r="G7" s="19"/>
      <c r="H7" s="2"/>
      <c r="I7" s="4" t="s">
        <v>20</v>
      </c>
      <c r="J7" s="28">
        <f>VLOOKUP(CAT,RETID_TABLE,3,FALSE)</f>
        <v>513</v>
      </c>
      <c r="K7" s="29">
        <f>IF(B4="B",EPMCD*12/26,"")</f>
      </c>
      <c r="L7" s="29">
        <f>IF(AND(B4="B",K7&lt;GROSS),(GROSS-(K7))*EPMC_,0)</f>
        <v>0</v>
      </c>
      <c r="M7" s="4"/>
      <c r="N7" s="2"/>
      <c r="O7" s="7">
        <v>-999999</v>
      </c>
      <c r="P7" s="7">
        <v>0</v>
      </c>
      <c r="Q7" s="7">
        <v>0</v>
      </c>
      <c r="R7" s="2"/>
      <c r="S7" s="8"/>
      <c r="T7" s="20" t="s">
        <v>21</v>
      </c>
      <c r="U7" s="8"/>
      <c r="V7" s="20" t="s">
        <v>22</v>
      </c>
      <c r="W7" s="2"/>
      <c r="X7" s="2"/>
    </row>
    <row r="8" spans="1:24" ht="16.5" customHeight="1">
      <c r="A8" s="4" t="s">
        <v>11</v>
      </c>
      <c r="B8" s="30" t="str">
        <f>VLOOKUP(CAT,RETID_TABLE,4,FALSE)</f>
        <v>SS</v>
      </c>
      <c r="C8" s="17" t="s">
        <v>492</v>
      </c>
      <c r="D8" s="18"/>
      <c r="E8" s="18"/>
      <c r="F8" s="18"/>
      <c r="G8" s="19"/>
      <c r="H8" s="2"/>
      <c r="I8" s="4" t="s">
        <v>25</v>
      </c>
      <c r="J8" s="31">
        <f>VLOOKUP(CAT,RETID_TABLE,2,FALSE)</f>
        <v>0.08</v>
      </c>
      <c r="K8" s="2"/>
      <c r="L8" s="29">
        <f>IF(AND(EPMCD&gt;GROSS,TIER&lt;&gt;2),0,IF(TIER=1,(GROSS-EPMCD)*EPMC_,IF(AND(B4="S",TIER=2),GROSS*EPMC_,)))</f>
        <v>0</v>
      </c>
      <c r="M8" s="2"/>
      <c r="N8" s="2"/>
      <c r="O8" s="7">
        <v>5250</v>
      </c>
      <c r="P8" s="7">
        <v>0.1</v>
      </c>
      <c r="Q8" s="7">
        <v>0</v>
      </c>
      <c r="R8" s="2"/>
      <c r="S8" s="32" t="s">
        <v>26</v>
      </c>
      <c r="T8" s="32" t="s">
        <v>27</v>
      </c>
      <c r="U8" s="20" t="s">
        <v>28</v>
      </c>
      <c r="V8" s="20" t="s">
        <v>29</v>
      </c>
      <c r="W8" s="2"/>
      <c r="X8" s="2"/>
    </row>
    <row r="9" spans="1:24" ht="15.75">
      <c r="A9" s="4" t="s">
        <v>18</v>
      </c>
      <c r="B9" s="27" t="s">
        <v>190</v>
      </c>
      <c r="C9" s="17" t="s">
        <v>19</v>
      </c>
      <c r="D9" s="2"/>
      <c r="E9" s="2"/>
      <c r="F9" s="2"/>
      <c r="G9" s="19"/>
      <c r="H9" s="2"/>
      <c r="I9" s="4" t="s">
        <v>13</v>
      </c>
      <c r="J9" s="33">
        <f>IF(B4="M",L9,IF(B4="S",L8,IF(B4="B",L7)))</f>
        <v>665.04</v>
      </c>
      <c r="K9" s="2"/>
      <c r="L9" s="29">
        <f>IF(EPMCD&gt;GROSS,0,(GROSS-EPMCD)*EPMC_)</f>
        <v>665.04</v>
      </c>
      <c r="M9" s="31"/>
      <c r="N9" s="2"/>
      <c r="O9" s="7">
        <v>16250</v>
      </c>
      <c r="P9" s="7">
        <v>0.12</v>
      </c>
      <c r="Q9" s="7">
        <v>1100</v>
      </c>
      <c r="R9" s="2"/>
      <c r="S9" s="34">
        <v>0</v>
      </c>
      <c r="T9" s="34">
        <v>0</v>
      </c>
      <c r="U9" s="34">
        <v>0</v>
      </c>
      <c r="V9" s="34">
        <v>0</v>
      </c>
      <c r="W9" s="2"/>
      <c r="X9" s="2"/>
    </row>
    <row r="10" spans="1:24" ht="15.75">
      <c r="A10" s="4" t="s">
        <v>23</v>
      </c>
      <c r="B10" s="27">
        <v>1</v>
      </c>
      <c r="C10" s="17" t="s">
        <v>553</v>
      </c>
      <c r="D10" s="2"/>
      <c r="E10" s="35"/>
      <c r="F10" s="2"/>
      <c r="G10" s="19"/>
      <c r="H10" s="2"/>
      <c r="I10" s="4" t="s">
        <v>32</v>
      </c>
      <c r="J10" s="36">
        <f>GROSS+Flex_Cash-Total_Flex-OPEB</f>
        <v>8262.09</v>
      </c>
      <c r="K10" s="5"/>
      <c r="L10" s="2"/>
      <c r="M10" s="31"/>
      <c r="N10" s="2"/>
      <c r="O10" s="7">
        <v>49975</v>
      </c>
      <c r="P10" s="7">
        <v>0.22</v>
      </c>
      <c r="Q10" s="7">
        <v>5147</v>
      </c>
      <c r="R10" s="2"/>
      <c r="S10" s="8"/>
      <c r="T10" s="8"/>
      <c r="U10" s="8"/>
      <c r="V10" s="8"/>
      <c r="W10" s="2"/>
      <c r="X10" s="2"/>
    </row>
    <row r="11" spans="1:24" ht="15.75">
      <c r="A11" s="37" t="s">
        <v>540</v>
      </c>
      <c r="B11" s="27"/>
      <c r="C11" s="15" t="s">
        <v>548</v>
      </c>
      <c r="D11" s="2"/>
      <c r="E11" s="35"/>
      <c r="F11" s="2"/>
      <c r="G11" s="19"/>
      <c r="H11" s="2"/>
      <c r="I11" s="4" t="s">
        <v>33</v>
      </c>
      <c r="J11" s="36">
        <f>GROSS+Flex_Cash-Total_Flex-OPEB</f>
        <v>8262.09</v>
      </c>
      <c r="K11" s="14"/>
      <c r="L11" s="2"/>
      <c r="M11" s="31"/>
      <c r="N11" s="2"/>
      <c r="O11" s="7">
        <v>100625</v>
      </c>
      <c r="P11" s="7">
        <v>0.24</v>
      </c>
      <c r="Q11" s="7">
        <v>16290</v>
      </c>
      <c r="R11" s="2"/>
      <c r="S11" s="20" t="s">
        <v>34</v>
      </c>
      <c r="T11" s="8"/>
      <c r="U11" s="8"/>
      <c r="V11" s="8"/>
      <c r="W11" s="2"/>
      <c r="X11" s="2"/>
    </row>
    <row r="12" spans="1:24" ht="15.75">
      <c r="A12" s="37" t="s">
        <v>541</v>
      </c>
      <c r="B12" s="27"/>
      <c r="C12" s="15" t="s">
        <v>547</v>
      </c>
      <c r="D12" s="2"/>
      <c r="E12" s="35"/>
      <c r="F12" s="2"/>
      <c r="G12" s="19"/>
      <c r="H12" s="2"/>
      <c r="I12" s="4" t="s">
        <v>195</v>
      </c>
      <c r="J12" s="38">
        <f>IF(SDI="Yes",SDIGRS*N2,0)</f>
        <v>74.35880999999999</v>
      </c>
      <c r="K12" s="5"/>
      <c r="L12" s="2"/>
      <c r="M12" s="31"/>
      <c r="N12" s="2"/>
      <c r="O12" s="7">
        <v>187350</v>
      </c>
      <c r="P12" s="39">
        <v>0.32</v>
      </c>
      <c r="Q12" s="7">
        <v>37104</v>
      </c>
      <c r="R12" s="2"/>
      <c r="S12" s="8"/>
      <c r="T12" s="20" t="s">
        <v>21</v>
      </c>
      <c r="U12" s="8"/>
      <c r="V12" s="20" t="s">
        <v>22</v>
      </c>
      <c r="W12" s="2"/>
      <c r="X12" s="2"/>
    </row>
    <row r="13" spans="1:24" ht="15.75">
      <c r="A13" s="37" t="s">
        <v>542</v>
      </c>
      <c r="B13" s="27"/>
      <c r="C13" s="15" t="s">
        <v>547</v>
      </c>
      <c r="D13" s="2"/>
      <c r="E13" s="35"/>
      <c r="F13" s="2"/>
      <c r="G13" s="19"/>
      <c r="H13" s="2"/>
      <c r="I13" s="4" t="s">
        <v>196</v>
      </c>
      <c r="J13" s="40">
        <f>GROSS+Flex_Cash-Total_Flex-OPEB</f>
        <v>8262.09</v>
      </c>
      <c r="K13" s="5"/>
      <c r="L13" s="2"/>
      <c r="M13" s="2"/>
      <c r="N13" s="2"/>
      <c r="O13" s="7">
        <v>236500</v>
      </c>
      <c r="P13" s="39">
        <v>0.35</v>
      </c>
      <c r="Q13" s="7">
        <v>52832</v>
      </c>
      <c r="R13" s="2"/>
      <c r="S13" s="32" t="s">
        <v>26</v>
      </c>
      <c r="T13" s="32" t="s">
        <v>27</v>
      </c>
      <c r="U13" s="20" t="s">
        <v>28</v>
      </c>
      <c r="V13" s="20" t="s">
        <v>29</v>
      </c>
      <c r="W13" s="2"/>
      <c r="X13" s="2"/>
    </row>
    <row r="14" spans="1:24" ht="15.75">
      <c r="A14" s="37" t="s">
        <v>543</v>
      </c>
      <c r="B14" s="27"/>
      <c r="C14" s="15" t="s">
        <v>547</v>
      </c>
      <c r="D14" s="2"/>
      <c r="E14" s="35"/>
      <c r="F14" s="2"/>
      <c r="G14" s="19"/>
      <c r="H14" s="2"/>
      <c r="I14" s="4" t="s">
        <v>36</v>
      </c>
      <c r="J14" s="14">
        <f>(GROSS-Total_A_R_Deductions-EPMC+Flex_Cash-Total_Flex-DCA1-OPEB)</f>
        <v>7597.049999999999</v>
      </c>
      <c r="K14" s="5"/>
      <c r="L14" s="2"/>
      <c r="M14" s="2"/>
      <c r="N14" s="2"/>
      <c r="O14" s="7">
        <v>583375</v>
      </c>
      <c r="P14" s="41">
        <v>0.37</v>
      </c>
      <c r="Q14" s="7">
        <v>174238.25</v>
      </c>
      <c r="R14" s="2"/>
      <c r="S14" s="34">
        <v>7400</v>
      </c>
      <c r="T14" s="34">
        <v>7950</v>
      </c>
      <c r="U14" s="34">
        <v>7950</v>
      </c>
      <c r="V14" s="34">
        <v>7950</v>
      </c>
      <c r="W14" s="2"/>
      <c r="X14" s="2"/>
    </row>
    <row r="15" spans="1:24" ht="15.75">
      <c r="A15" s="4" t="s">
        <v>30</v>
      </c>
      <c r="B15" s="27" t="s">
        <v>201</v>
      </c>
      <c r="C15" s="17" t="s">
        <v>497</v>
      </c>
      <c r="D15" s="2"/>
      <c r="E15" s="25" t="s">
        <v>6</v>
      </c>
      <c r="F15" s="4" t="s">
        <v>6</v>
      </c>
      <c r="G15" s="42" t="s">
        <v>6</v>
      </c>
      <c r="H15" s="2"/>
      <c r="I15" s="4" t="s">
        <v>38</v>
      </c>
      <c r="J15" s="14">
        <f>(GROSS-Total_A_R_Deductions-EPMC+Flex_Cash-Total_Flex-DCA2-OPEB)</f>
        <v>7497.049999999999</v>
      </c>
      <c r="K15" s="5"/>
      <c r="L15" s="2"/>
      <c r="M15" s="2"/>
      <c r="N15" s="2"/>
      <c r="O15" s="7"/>
      <c r="P15" s="7"/>
      <c r="Q15" s="7"/>
      <c r="R15" s="2"/>
      <c r="S15" s="8"/>
      <c r="T15" s="8"/>
      <c r="U15" s="8"/>
      <c r="V15" s="8"/>
      <c r="W15" s="2"/>
      <c r="X15" s="2"/>
    </row>
    <row r="16" spans="1:24" ht="15.75">
      <c r="A16" s="4" t="s">
        <v>31</v>
      </c>
      <c r="B16" s="27">
        <v>0</v>
      </c>
      <c r="C16" s="17" t="s">
        <v>24</v>
      </c>
      <c r="D16" s="2"/>
      <c r="E16" s="25" t="s">
        <v>6</v>
      </c>
      <c r="F16" s="4" t="s">
        <v>6</v>
      </c>
      <c r="G16" s="42" t="s">
        <v>6</v>
      </c>
      <c r="H16" s="2"/>
      <c r="I16" s="4" t="s">
        <v>41</v>
      </c>
      <c r="J16" s="14">
        <f>(GROSS-Total_A_R_Deductions-EPMC+Flex_Cash-Total_Flex-DCA3-OPEB)</f>
        <v>7397.049999999999</v>
      </c>
      <c r="K16" s="5"/>
      <c r="L16" s="20"/>
      <c r="M16" s="43"/>
      <c r="N16" s="2"/>
      <c r="O16" s="8"/>
      <c r="P16" s="8"/>
      <c r="Q16" s="8"/>
      <c r="R16" s="2"/>
      <c r="S16" s="20" t="s">
        <v>47</v>
      </c>
      <c r="T16" s="8"/>
      <c r="U16" s="8"/>
      <c r="V16" s="8"/>
      <c r="W16" s="2"/>
      <c r="X16" s="2"/>
    </row>
    <row r="17" spans="1:24" ht="15.75">
      <c r="A17" s="44" t="s">
        <v>546</v>
      </c>
      <c r="B17" s="30">
        <v>0</v>
      </c>
      <c r="C17" s="17"/>
      <c r="D17" s="2"/>
      <c r="E17" s="25" t="s">
        <v>6</v>
      </c>
      <c r="F17" s="4" t="s">
        <v>6</v>
      </c>
      <c r="G17" s="42" t="s">
        <v>6</v>
      </c>
      <c r="H17" s="2"/>
      <c r="I17" s="4" t="s">
        <v>43</v>
      </c>
      <c r="J17" s="14">
        <f>(GROSS-Total_A_R_Deductions-EPMC+Flex_Cash-Total_Flex-DCA4-OPEB)</f>
        <v>7297.049999999999</v>
      </c>
      <c r="K17" s="5"/>
      <c r="L17" s="20"/>
      <c r="M17" s="43"/>
      <c r="N17" s="2"/>
      <c r="O17" s="20" t="s">
        <v>6</v>
      </c>
      <c r="P17" s="20" t="s">
        <v>46</v>
      </c>
      <c r="Q17" s="8"/>
      <c r="R17" s="2"/>
      <c r="S17" s="20" t="s">
        <v>14</v>
      </c>
      <c r="T17" s="20" t="s">
        <v>15</v>
      </c>
      <c r="U17" s="20" t="s">
        <v>16</v>
      </c>
      <c r="V17" s="8"/>
      <c r="W17" s="2"/>
      <c r="X17" s="2"/>
    </row>
    <row r="18" spans="1:24" ht="15.75">
      <c r="A18" s="4" t="s">
        <v>194</v>
      </c>
      <c r="B18" s="27" t="s">
        <v>834</v>
      </c>
      <c r="C18" s="17" t="s">
        <v>193</v>
      </c>
      <c r="D18" s="2"/>
      <c r="E18" s="25"/>
      <c r="F18" s="4"/>
      <c r="G18" s="42"/>
      <c r="H18" s="2"/>
      <c r="I18" s="4" t="s">
        <v>45</v>
      </c>
      <c r="J18" s="14">
        <f>(GROSS-Total_A_R_Deductions-EPMC+Flex_Cash-Total_Flex-DCA5-OPEB)</f>
        <v>7197.049999999999</v>
      </c>
      <c r="K18" s="5"/>
      <c r="L18" s="20"/>
      <c r="M18" s="45"/>
      <c r="N18" s="2"/>
      <c r="O18" s="20" t="s">
        <v>14</v>
      </c>
      <c r="P18" s="20" t="s">
        <v>15</v>
      </c>
      <c r="Q18" s="20" t="s">
        <v>16</v>
      </c>
      <c r="R18" s="2"/>
      <c r="S18" s="34">
        <v>0</v>
      </c>
      <c r="T18" s="46">
        <v>0.04</v>
      </c>
      <c r="U18" s="7">
        <v>0</v>
      </c>
      <c r="V18" s="8"/>
      <c r="W18" s="2"/>
      <c r="X18" s="2"/>
    </row>
    <row r="19" spans="1:24" ht="15.75">
      <c r="A19" s="4" t="s">
        <v>35</v>
      </c>
      <c r="B19" s="47">
        <v>1673</v>
      </c>
      <c r="C19" s="17" t="s">
        <v>191</v>
      </c>
      <c r="D19" s="2"/>
      <c r="E19" s="2"/>
      <c r="F19" s="2"/>
      <c r="G19" s="19"/>
      <c r="H19" s="2"/>
      <c r="I19" s="4" t="s">
        <v>49</v>
      </c>
      <c r="J19" s="14">
        <f>(GROSS-Total_A_R_Deductions-EPMC+Flex_Cash-Total_Flex-DCA6-OPEB)</f>
        <v>7097.049999999999</v>
      </c>
      <c r="K19" s="5"/>
      <c r="L19" s="20"/>
      <c r="M19" s="45"/>
      <c r="N19" s="2"/>
      <c r="O19" s="7">
        <v>-999999</v>
      </c>
      <c r="P19" s="7">
        <v>0</v>
      </c>
      <c r="Q19" s="7">
        <v>0</v>
      </c>
      <c r="R19" s="2"/>
      <c r="S19" s="34">
        <v>8500</v>
      </c>
      <c r="T19" s="46">
        <v>0.045</v>
      </c>
      <c r="U19" s="7">
        <v>340</v>
      </c>
      <c r="V19" s="8"/>
      <c r="W19" s="2"/>
      <c r="X19" s="2"/>
    </row>
    <row r="20" spans="1:24" ht="15.75">
      <c r="A20" s="4" t="s">
        <v>37</v>
      </c>
      <c r="B20" s="47">
        <v>2025.09</v>
      </c>
      <c r="C20" s="17" t="s">
        <v>189</v>
      </c>
      <c r="D20" s="2"/>
      <c r="E20" s="2"/>
      <c r="F20" s="2"/>
      <c r="G20" s="19"/>
      <c r="H20" s="2"/>
      <c r="I20" s="2"/>
      <c r="J20" s="2"/>
      <c r="K20" s="5"/>
      <c r="L20" s="20"/>
      <c r="M20" s="45"/>
      <c r="N20" s="2"/>
      <c r="O20" s="7">
        <v>14800</v>
      </c>
      <c r="P20" s="7">
        <v>0.1</v>
      </c>
      <c r="Q20" s="7">
        <v>0</v>
      </c>
      <c r="R20" s="2"/>
      <c r="S20" s="34">
        <v>11700</v>
      </c>
      <c r="T20" s="46">
        <v>0.0525</v>
      </c>
      <c r="U20" s="7">
        <v>484</v>
      </c>
      <c r="V20" s="8"/>
      <c r="W20" s="2"/>
      <c r="X20" s="2"/>
    </row>
    <row r="21" spans="1:24" ht="15.75">
      <c r="A21" s="4" t="s">
        <v>39</v>
      </c>
      <c r="B21" s="47">
        <v>0</v>
      </c>
      <c r="C21" s="17" t="s">
        <v>40</v>
      </c>
      <c r="D21" s="2"/>
      <c r="E21" s="2"/>
      <c r="F21" s="2"/>
      <c r="G21" s="19"/>
      <c r="H21" s="2"/>
      <c r="I21" s="4" t="s">
        <v>52</v>
      </c>
      <c r="J21" s="2"/>
      <c r="K21" s="5"/>
      <c r="L21" s="20"/>
      <c r="M21" s="45"/>
      <c r="N21" s="2"/>
      <c r="O21" s="7">
        <v>36800</v>
      </c>
      <c r="P21" s="7">
        <v>0.12</v>
      </c>
      <c r="Q21" s="7">
        <v>2200</v>
      </c>
      <c r="R21" s="2"/>
      <c r="S21" s="34">
        <v>13900</v>
      </c>
      <c r="T21" s="46">
        <v>0.055</v>
      </c>
      <c r="U21" s="7">
        <v>600</v>
      </c>
      <c r="V21" s="8"/>
      <c r="W21" s="2"/>
      <c r="X21" s="2"/>
    </row>
    <row r="22" spans="1:24" ht="16.5" thickBot="1">
      <c r="A22" s="4" t="s">
        <v>42</v>
      </c>
      <c r="B22" s="47">
        <v>0</v>
      </c>
      <c r="C22" s="48" t="s">
        <v>189</v>
      </c>
      <c r="D22" s="2"/>
      <c r="E22" s="2"/>
      <c r="F22" s="2"/>
      <c r="G22" s="19"/>
      <c r="H22" s="2"/>
      <c r="I22" s="4" t="s">
        <v>54</v>
      </c>
      <c r="J22" s="14">
        <f>IF(B4="S",24,IF(B4="B",26,12))</f>
        <v>12</v>
      </c>
      <c r="K22" s="49" t="str">
        <f>IF(AND(FedHW="Y",FEDM="M"),"A",IF(AND(FedHW="Y",FEDM="S"),"I",IF(AND(FedHW="Y",FEDM="H"),"E",FEDM)))</f>
        <v>M</v>
      </c>
      <c r="L22" s="20"/>
      <c r="M22" s="45"/>
      <c r="N22" s="2"/>
      <c r="O22" s="7">
        <v>104250</v>
      </c>
      <c r="P22" s="7">
        <v>0.22</v>
      </c>
      <c r="Q22" s="7">
        <v>10294</v>
      </c>
      <c r="R22" s="2"/>
      <c r="S22" s="34">
        <v>80650</v>
      </c>
      <c r="T22" s="46">
        <v>0.06</v>
      </c>
      <c r="U22" s="7">
        <v>4271</v>
      </c>
      <c r="V22" s="8"/>
      <c r="W22" s="2"/>
      <c r="X22" s="2"/>
    </row>
    <row r="23" spans="1:24" ht="16.5" thickBot="1">
      <c r="A23" s="50" t="s">
        <v>44</v>
      </c>
      <c r="B23" s="51">
        <v>0</v>
      </c>
      <c r="C23" s="52">
        <v>100</v>
      </c>
      <c r="D23" s="52">
        <v>200</v>
      </c>
      <c r="E23" s="52">
        <v>300</v>
      </c>
      <c r="F23" s="52">
        <v>400</v>
      </c>
      <c r="G23" s="52">
        <v>500</v>
      </c>
      <c r="H23" s="2"/>
      <c r="I23" s="4" t="s">
        <v>56</v>
      </c>
      <c r="J23" s="14">
        <f>IF(AND(FedHW="N",FEDM="M"),(FEDEXMPT*3),IF(AND(FedHW="N",FEDM&lt;&gt;"M"),(FEDEXMPT*2),IF(FedHW="",(FEDEXMPT*FEDE),"0")))</f>
        <v>4300</v>
      </c>
      <c r="K23" s="5"/>
      <c r="L23" s="20"/>
      <c r="M23" s="45"/>
      <c r="N23" s="2"/>
      <c r="O23" s="7">
        <v>205550</v>
      </c>
      <c r="P23" s="7">
        <v>0.24</v>
      </c>
      <c r="Q23" s="7">
        <v>32580</v>
      </c>
      <c r="R23" s="2"/>
      <c r="S23" s="34">
        <v>96800</v>
      </c>
      <c r="T23" s="46">
        <v>0.0714</v>
      </c>
      <c r="U23" s="7">
        <v>5240</v>
      </c>
      <c r="V23" s="8"/>
      <c r="W23" s="2"/>
      <c r="X23" s="2"/>
    </row>
    <row r="24" spans="1:24" ht="15.75">
      <c r="A24" s="53" t="s">
        <v>48</v>
      </c>
      <c r="B24" s="54">
        <f>(GROSS-EPMC-OASDI-MED+Flex_Cash-Total_Flex-VOLDEDS-DCA1-FTAX1-STAX1-B21-SDI1-OPEB)</f>
        <v>5798.171190000001</v>
      </c>
      <c r="C24" s="55">
        <f>IF(DCA2&gt;0,(GROSS-EPMC-OASDI-MED+Flex_Cash-Total_Flex-VOLDEDS-DCA2-FTAX2-STAX2-B21-SDI1-OPEB),"")</f>
        <v>5716.171190000001</v>
      </c>
      <c r="D24" s="55">
        <f>IF(DCA3&gt;0,(GROSS-EPMC-OASDI-MED+Flex_Cash-Total_Flex-VOLDEDS-DCA3-FTAX3-STAX3-B21-SDI1-OPEB),"")</f>
        <v>5634.171190000001</v>
      </c>
      <c r="E24" s="55">
        <f>IF(DCA4&gt;0,(GROSS-EPMC-OASDI-MED+Flex_Cash-Total_Flex-VOLDEDS-DCA4-FTAX4-STAX4-B21-SDI1-OPEB),"")</f>
        <v>5552.171190000001</v>
      </c>
      <c r="F24" s="55">
        <f>IF(DCA5&gt;0,(GROSS-EPMC-OASDI-MED+Flex_Cash-Total_Flex-VOLDEDS-DCA5-FTAX5-STAX5-B21-SDI1-OPEB),"")</f>
        <v>5470.171190000001</v>
      </c>
      <c r="G24" s="55">
        <f>IF(DCA6&gt;0,(GROSS-EPMC-OASDI-MED+Flex_Cash-Total_Flex-VOLDEDS-DCA6-FTAX6-STAX6-B21-SDI1-OPEB),"")</f>
        <v>5388.171190000001</v>
      </c>
      <c r="H24" s="2"/>
      <c r="I24" s="4" t="s">
        <v>58</v>
      </c>
      <c r="J24" s="2"/>
      <c r="K24" s="5"/>
      <c r="L24" s="20"/>
      <c r="M24" s="45"/>
      <c r="N24" s="2"/>
      <c r="O24" s="7">
        <v>379000</v>
      </c>
      <c r="P24" s="7">
        <v>0.32</v>
      </c>
      <c r="Q24" s="7">
        <v>74208</v>
      </c>
      <c r="R24" s="2"/>
      <c r="S24" s="34">
        <v>107650</v>
      </c>
      <c r="T24" s="46">
        <v>0.0764</v>
      </c>
      <c r="U24" s="7">
        <v>6014</v>
      </c>
      <c r="V24" s="8"/>
      <c r="W24" s="2"/>
      <c r="X24" s="2"/>
    </row>
    <row r="25" spans="1:24" ht="15.75">
      <c r="A25" s="4" t="s">
        <v>50</v>
      </c>
      <c r="B25" s="56"/>
      <c r="C25" s="57">
        <f>IF(DCA2&gt;0,($B$24-C24),"")</f>
        <v>82</v>
      </c>
      <c r="D25" s="57">
        <f>IF(DCA3&gt;0,($B$24-D24),"")</f>
        <v>164</v>
      </c>
      <c r="E25" s="57">
        <f>IF(DCA4&gt;0,($B$24-E24),"")</f>
        <v>246</v>
      </c>
      <c r="F25" s="57">
        <f>IF(DCA5&gt;0,($B$24-F24),"")</f>
        <v>328</v>
      </c>
      <c r="G25" s="57">
        <f>IF(DCA6&gt;0,($B$24-G24),"")</f>
        <v>410</v>
      </c>
      <c r="H25" s="2"/>
      <c r="I25" s="4" t="s">
        <v>60</v>
      </c>
      <c r="J25" s="14">
        <f>(PAYFACT*TG1)</f>
        <v>91164.59999999999</v>
      </c>
      <c r="K25" s="5"/>
      <c r="L25" s="20"/>
      <c r="M25" s="45"/>
      <c r="N25" s="2"/>
      <c r="O25" s="7">
        <v>477300</v>
      </c>
      <c r="P25" s="39">
        <v>0.35</v>
      </c>
      <c r="Q25" s="7">
        <v>105664</v>
      </c>
      <c r="R25" s="2"/>
      <c r="S25" s="34">
        <v>157650</v>
      </c>
      <c r="T25" s="46">
        <v>0.065</v>
      </c>
      <c r="U25" s="7">
        <v>9832</v>
      </c>
      <c r="V25" s="8"/>
      <c r="W25" s="2"/>
      <c r="X25" s="2"/>
    </row>
    <row r="26" spans="1:24" ht="15.75">
      <c r="A26" s="4" t="s">
        <v>51</v>
      </c>
      <c r="B26" s="57">
        <f>(FTAX1)</f>
        <v>683.98</v>
      </c>
      <c r="C26" s="57">
        <f>IF(DCA2&gt;0,FTAX2,"")</f>
        <v>671.98</v>
      </c>
      <c r="D26" s="57">
        <f>IF(DCA3&gt;0,FTAX3,"")</f>
        <v>659.98</v>
      </c>
      <c r="E26" s="57">
        <f>IF(DCA4&gt;0,FTAX4,"")</f>
        <v>647.98</v>
      </c>
      <c r="F26" s="57">
        <f>IF(DCA5&gt;0,FTAX5,"")</f>
        <v>635.98</v>
      </c>
      <c r="G26" s="57">
        <f>IF(DCA6&gt;0,FTAX6,"")</f>
        <v>623.98</v>
      </c>
      <c r="H26" s="2"/>
      <c r="I26" s="4" t="s">
        <v>62</v>
      </c>
      <c r="J26" s="14">
        <f>(PAYFACT*TG2)</f>
        <v>89964.59999999999</v>
      </c>
      <c r="K26" s="5"/>
      <c r="L26" s="20"/>
      <c r="M26" s="45"/>
      <c r="N26" s="2"/>
      <c r="O26" s="7">
        <v>708550</v>
      </c>
      <c r="P26" s="41">
        <v>0.37</v>
      </c>
      <c r="Q26" s="7">
        <v>186601.5</v>
      </c>
      <c r="R26" s="2"/>
      <c r="S26" s="34">
        <v>215400</v>
      </c>
      <c r="T26" s="46">
        <v>0.1101</v>
      </c>
      <c r="U26" s="7">
        <v>13586</v>
      </c>
      <c r="V26" s="8"/>
      <c r="W26" s="2"/>
      <c r="X26" s="2"/>
    </row>
    <row r="27" spans="1:24" ht="15.75">
      <c r="A27" s="4" t="s">
        <v>53</v>
      </c>
      <c r="B27" s="57">
        <f>(STAX1)</f>
        <v>408.49</v>
      </c>
      <c r="C27" s="57">
        <f>IF(DCA2&gt;0,STAX2,"")</f>
        <v>402.49</v>
      </c>
      <c r="D27" s="57">
        <f>IF(DCA3&gt;0,STAX3,"")</f>
        <v>396.49</v>
      </c>
      <c r="E27" s="57">
        <f>IF(DCA4&gt;0,STAX4,"")</f>
        <v>390.49</v>
      </c>
      <c r="F27" s="57">
        <f>IF(DCA5&gt;0,STAX5,"")</f>
        <v>384.49</v>
      </c>
      <c r="G27" s="57">
        <f>IF(DCA6&gt;0,STAX6,"")</f>
        <v>378.49</v>
      </c>
      <c r="H27" s="2"/>
      <c r="I27" s="4" t="s">
        <v>64</v>
      </c>
      <c r="J27" s="14">
        <f>(PAYFACT*TG3)</f>
        <v>88764.59999999999</v>
      </c>
      <c r="K27" s="5"/>
      <c r="L27" s="58">
        <f>IF(B4="B",(GROSS-(EPMCD*12/26))*EPMC_,IF(AND(B4="S",TIER=2),GROSS*EPMC_,(GROSS-EPMCD)*EPMC_))</f>
        <v>665.04</v>
      </c>
      <c r="M27" s="45"/>
      <c r="N27" s="2"/>
      <c r="O27" s="7"/>
      <c r="P27" s="7"/>
      <c r="Q27" s="7"/>
      <c r="R27" s="2"/>
      <c r="S27" s="34">
        <v>265400</v>
      </c>
      <c r="T27" s="46">
        <v>0.0735</v>
      </c>
      <c r="U27" s="7">
        <v>19092</v>
      </c>
      <c r="V27" s="8"/>
      <c r="W27" s="2"/>
      <c r="X27" s="2"/>
    </row>
    <row r="28" spans="1:24" ht="15.75">
      <c r="A28" s="4" t="s">
        <v>55</v>
      </c>
      <c r="B28" s="57">
        <f aca="true" t="shared" si="0" ref="B28:G28">EPMC</f>
        <v>665.04</v>
      </c>
      <c r="C28" s="57">
        <f t="shared" si="0"/>
        <v>665.04</v>
      </c>
      <c r="D28" s="57">
        <f t="shared" si="0"/>
        <v>665.04</v>
      </c>
      <c r="E28" s="57">
        <f t="shared" si="0"/>
        <v>665.04</v>
      </c>
      <c r="F28" s="57">
        <f t="shared" si="0"/>
        <v>665.04</v>
      </c>
      <c r="G28" s="57">
        <f t="shared" si="0"/>
        <v>665.04</v>
      </c>
      <c r="H28" s="2"/>
      <c r="I28" s="4" t="s">
        <v>66</v>
      </c>
      <c r="J28" s="14">
        <f>(PAYFACT*TG4)</f>
        <v>87564.59999999999</v>
      </c>
      <c r="K28" s="5"/>
      <c r="L28" s="2"/>
      <c r="M28" s="2"/>
      <c r="N28" s="2"/>
      <c r="O28" s="8"/>
      <c r="P28" s="8" t="s">
        <v>536</v>
      </c>
      <c r="Q28" s="8"/>
      <c r="R28" s="2"/>
      <c r="S28" s="34">
        <v>1077550</v>
      </c>
      <c r="T28" s="46">
        <v>0.1045</v>
      </c>
      <c r="U28" s="7">
        <v>0</v>
      </c>
      <c r="V28" s="8"/>
      <c r="W28" s="2"/>
      <c r="X28" s="2"/>
    </row>
    <row r="29" spans="1:24" ht="15.75">
      <c r="A29" s="4" t="s">
        <v>832</v>
      </c>
      <c r="B29" s="57">
        <f aca="true" t="shared" si="1" ref="B29:G29">OPEB</f>
        <v>211.82</v>
      </c>
      <c r="C29" s="57">
        <f t="shared" si="1"/>
        <v>211.82</v>
      </c>
      <c r="D29" s="57">
        <f t="shared" si="1"/>
        <v>211.82</v>
      </c>
      <c r="E29" s="57">
        <f t="shared" si="1"/>
        <v>211.82</v>
      </c>
      <c r="F29" s="57">
        <f t="shared" si="1"/>
        <v>211.82</v>
      </c>
      <c r="G29" s="57">
        <f t="shared" si="1"/>
        <v>211.82</v>
      </c>
      <c r="H29" s="2"/>
      <c r="I29" s="4"/>
      <c r="J29" s="14"/>
      <c r="K29" s="5"/>
      <c r="L29" s="2"/>
      <c r="M29" s="2"/>
      <c r="N29" s="2"/>
      <c r="O29" s="8"/>
      <c r="P29" s="8"/>
      <c r="Q29" s="8"/>
      <c r="R29" s="2"/>
      <c r="S29" s="34">
        <v>5000000</v>
      </c>
      <c r="T29" s="46">
        <v>0.111</v>
      </c>
      <c r="U29" s="7">
        <v>0</v>
      </c>
      <c r="V29" s="8"/>
      <c r="W29" s="2"/>
      <c r="X29" s="2"/>
    </row>
    <row r="30" spans="1:24" ht="15.75">
      <c r="A30" s="4" t="s">
        <v>57</v>
      </c>
      <c r="B30" s="57">
        <f aca="true" t="shared" si="2" ref="B30:G30">OASDI</f>
        <v>512.25</v>
      </c>
      <c r="C30" s="57">
        <f t="shared" si="2"/>
        <v>512.25</v>
      </c>
      <c r="D30" s="57">
        <f t="shared" si="2"/>
        <v>512.25</v>
      </c>
      <c r="E30" s="57">
        <f t="shared" si="2"/>
        <v>512.25</v>
      </c>
      <c r="F30" s="57">
        <f t="shared" si="2"/>
        <v>512.25</v>
      </c>
      <c r="G30" s="57">
        <f t="shared" si="2"/>
        <v>512.25</v>
      </c>
      <c r="H30" s="2"/>
      <c r="I30" s="4" t="s">
        <v>68</v>
      </c>
      <c r="J30" s="14">
        <f>(PAYFACT*TG5)</f>
        <v>86364.59999999999</v>
      </c>
      <c r="K30" s="5"/>
      <c r="L30" s="2"/>
      <c r="M30" s="2"/>
      <c r="N30" s="2"/>
      <c r="O30" s="20" t="s">
        <v>14</v>
      </c>
      <c r="P30" s="20" t="s">
        <v>15</v>
      </c>
      <c r="Q30" s="20" t="s">
        <v>16</v>
      </c>
      <c r="R30" s="2"/>
      <c r="S30" s="34">
        <v>25000000</v>
      </c>
      <c r="T30" s="46">
        <v>0.117</v>
      </c>
      <c r="U30" s="7">
        <v>0</v>
      </c>
      <c r="V30" s="8"/>
      <c r="W30" s="2"/>
      <c r="X30" s="2"/>
    </row>
    <row r="31" spans="1:24" ht="15.75">
      <c r="A31" s="15" t="s">
        <v>59</v>
      </c>
      <c r="B31" s="57">
        <f aca="true" t="shared" si="3" ref="B31:G31">MED</f>
        <v>119.8</v>
      </c>
      <c r="C31" s="57">
        <f t="shared" si="3"/>
        <v>119.8</v>
      </c>
      <c r="D31" s="57">
        <f t="shared" si="3"/>
        <v>119.8</v>
      </c>
      <c r="E31" s="57">
        <f t="shared" si="3"/>
        <v>119.8</v>
      </c>
      <c r="F31" s="57">
        <f t="shared" si="3"/>
        <v>119.8</v>
      </c>
      <c r="G31" s="57">
        <f t="shared" si="3"/>
        <v>119.8</v>
      </c>
      <c r="H31" s="2"/>
      <c r="I31" s="4" t="s">
        <v>69</v>
      </c>
      <c r="J31" s="14">
        <f>(PAYFACT*TG6)</f>
        <v>85164.59999999999</v>
      </c>
      <c r="K31" s="5"/>
      <c r="L31" s="2"/>
      <c r="M31" s="2"/>
      <c r="N31" s="2"/>
      <c r="O31" s="7">
        <v>-999999</v>
      </c>
      <c r="P31" s="7">
        <v>0</v>
      </c>
      <c r="Q31" s="7">
        <v>0</v>
      </c>
      <c r="R31" s="2"/>
      <c r="S31" s="34"/>
      <c r="T31" s="46"/>
      <c r="U31" s="7"/>
      <c r="V31" s="8"/>
      <c r="W31" s="2"/>
      <c r="X31" s="2"/>
    </row>
    <row r="32" spans="1:24" ht="15.75">
      <c r="A32" s="4" t="s">
        <v>197</v>
      </c>
      <c r="B32" s="57">
        <f aca="true" t="shared" si="4" ref="B32:G32">SDI1</f>
        <v>74.35880999999999</v>
      </c>
      <c r="C32" s="57">
        <f t="shared" si="4"/>
        <v>74.35880999999999</v>
      </c>
      <c r="D32" s="57">
        <f t="shared" si="4"/>
        <v>74.35880999999999</v>
      </c>
      <c r="E32" s="57">
        <f t="shared" si="4"/>
        <v>74.35880999999999</v>
      </c>
      <c r="F32" s="57">
        <f t="shared" si="4"/>
        <v>74.35880999999999</v>
      </c>
      <c r="G32" s="57">
        <f t="shared" si="4"/>
        <v>74.35880999999999</v>
      </c>
      <c r="H32" s="2"/>
      <c r="I32" s="2"/>
      <c r="J32" s="2"/>
      <c r="K32" s="5"/>
      <c r="L32" s="2"/>
      <c r="M32" s="2"/>
      <c r="N32" s="2"/>
      <c r="O32" s="7">
        <v>12200</v>
      </c>
      <c r="P32" s="7">
        <v>0.1</v>
      </c>
      <c r="Q32" s="7">
        <v>0</v>
      </c>
      <c r="R32" s="2"/>
      <c r="S32" s="8"/>
      <c r="T32" s="8"/>
      <c r="U32" s="8"/>
      <c r="V32" s="8"/>
      <c r="W32" s="2"/>
      <c r="X32" s="2"/>
    </row>
    <row r="33" spans="1:24" ht="15.75">
      <c r="A33" s="4" t="s">
        <v>61</v>
      </c>
      <c r="B33" s="57">
        <f>J14</f>
        <v>7597.049999999999</v>
      </c>
      <c r="C33" s="57">
        <f>J15</f>
        <v>7497.049999999999</v>
      </c>
      <c r="D33" s="57">
        <f>J16</f>
        <v>7397.049999999999</v>
      </c>
      <c r="E33" s="57">
        <f>J17</f>
        <v>7297.049999999999</v>
      </c>
      <c r="F33" s="57">
        <f>J18</f>
        <v>7197.049999999999</v>
      </c>
      <c r="G33" s="57">
        <f>J19</f>
        <v>7097.049999999999</v>
      </c>
      <c r="H33" s="2"/>
      <c r="I33" s="4" t="s">
        <v>71</v>
      </c>
      <c r="J33" s="2"/>
      <c r="K33" s="14"/>
      <c r="L33" s="2"/>
      <c r="M33" s="2"/>
      <c r="N33" s="2"/>
      <c r="O33" s="7">
        <v>27900</v>
      </c>
      <c r="P33" s="7">
        <v>0.12</v>
      </c>
      <c r="Q33" s="7">
        <v>1570</v>
      </c>
      <c r="R33" s="2"/>
      <c r="S33" s="4" t="s">
        <v>72</v>
      </c>
      <c r="T33" s="2"/>
      <c r="U33" s="2"/>
      <c r="V33" s="2"/>
      <c r="W33" s="2"/>
      <c r="X33" s="2"/>
    </row>
    <row r="34" spans="1:24" ht="15.75">
      <c r="A34" s="15" t="s">
        <v>63</v>
      </c>
      <c r="B34" s="57">
        <f>J14</f>
        <v>7597.049999999999</v>
      </c>
      <c r="C34" s="57">
        <f>J15</f>
        <v>7497.049999999999</v>
      </c>
      <c r="D34" s="57">
        <f>J16</f>
        <v>7397.049999999999</v>
      </c>
      <c r="E34" s="57">
        <f>J17</f>
        <v>7297.049999999999</v>
      </c>
      <c r="F34" s="57">
        <f>J18</f>
        <v>7197.049999999999</v>
      </c>
      <c r="G34" s="57">
        <f>J19</f>
        <v>7097.049999999999</v>
      </c>
      <c r="H34" s="2"/>
      <c r="I34" s="4" t="s">
        <v>73</v>
      </c>
      <c r="J34" s="14">
        <f>IF(FedHW&lt;&gt;"",(FAN1-FEDEXM-Fed_Deds+Fed_Oth_Inc),(FAN1-FEDEXM))</f>
        <v>86864.59999999999</v>
      </c>
      <c r="K34" s="14"/>
      <c r="L34" s="2"/>
      <c r="M34" s="2"/>
      <c r="N34" s="2"/>
      <c r="O34" s="7">
        <v>72050</v>
      </c>
      <c r="P34" s="7">
        <v>0.22</v>
      </c>
      <c r="Q34" s="7">
        <v>6868</v>
      </c>
      <c r="R34" s="2"/>
      <c r="S34" s="20" t="s">
        <v>14</v>
      </c>
      <c r="T34" s="20" t="s">
        <v>15</v>
      </c>
      <c r="U34" s="20" t="s">
        <v>16</v>
      </c>
      <c r="V34" s="8"/>
      <c r="W34" s="2"/>
      <c r="X34" s="2"/>
    </row>
    <row r="35" spans="1:24" ht="15.75">
      <c r="A35" s="4" t="s">
        <v>65</v>
      </c>
      <c r="B35" s="57">
        <f aca="true" t="shared" si="5" ref="B35:G35">$J$10</f>
        <v>8262.09</v>
      </c>
      <c r="C35" s="57">
        <f t="shared" si="5"/>
        <v>8262.09</v>
      </c>
      <c r="D35" s="57">
        <f t="shared" si="5"/>
        <v>8262.09</v>
      </c>
      <c r="E35" s="57">
        <f t="shared" si="5"/>
        <v>8262.09</v>
      </c>
      <c r="F35" s="57">
        <f t="shared" si="5"/>
        <v>8262.09</v>
      </c>
      <c r="G35" s="57">
        <f t="shared" si="5"/>
        <v>8262.09</v>
      </c>
      <c r="H35" s="2"/>
      <c r="I35" s="4" t="s">
        <v>74</v>
      </c>
      <c r="J35" s="14">
        <f>IF(FedHW&lt;&gt;"",(J26-FEDEXM-Fed_Deds+Fed_Oth_Inc),(J26-FEDEXM))</f>
        <v>85664.59999999999</v>
      </c>
      <c r="K35" s="14"/>
      <c r="L35" s="2"/>
      <c r="M35" s="2"/>
      <c r="N35" s="2"/>
      <c r="O35" s="7">
        <v>107550</v>
      </c>
      <c r="P35" s="7">
        <v>0.24</v>
      </c>
      <c r="Q35" s="7">
        <v>14678</v>
      </c>
      <c r="R35" s="2"/>
      <c r="S35" s="34">
        <v>0</v>
      </c>
      <c r="T35" s="46">
        <v>0.04</v>
      </c>
      <c r="U35" s="7">
        <v>0</v>
      </c>
      <c r="V35" s="8"/>
      <c r="W35" s="2"/>
      <c r="X35" s="2"/>
    </row>
    <row r="36" spans="1:24" ht="16.5" thickBot="1">
      <c r="A36" s="50" t="s">
        <v>67</v>
      </c>
      <c r="B36" s="59">
        <f aca="true" t="shared" si="6" ref="B36:G36">$J$11</f>
        <v>8262.09</v>
      </c>
      <c r="C36" s="59">
        <f t="shared" si="6"/>
        <v>8262.09</v>
      </c>
      <c r="D36" s="59">
        <f t="shared" si="6"/>
        <v>8262.09</v>
      </c>
      <c r="E36" s="59">
        <f t="shared" si="6"/>
        <v>8262.09</v>
      </c>
      <c r="F36" s="59">
        <f t="shared" si="6"/>
        <v>8262.09</v>
      </c>
      <c r="G36" s="59">
        <f t="shared" si="6"/>
        <v>8262.09</v>
      </c>
      <c r="H36" s="2"/>
      <c r="I36" s="4" t="s">
        <v>75</v>
      </c>
      <c r="J36" s="14">
        <f>IF(FedHW&lt;&gt;"",(J27-FEDEXM-Fed_Deds+Fed_Oth_Inc),(J27-FEDEXM))</f>
        <v>84464.59999999999</v>
      </c>
      <c r="K36" s="14"/>
      <c r="L36" s="2"/>
      <c r="M36" s="2"/>
      <c r="N36" s="2"/>
      <c r="O36" s="7">
        <v>194300</v>
      </c>
      <c r="P36" s="39">
        <v>0.32</v>
      </c>
      <c r="Q36" s="7">
        <v>35498</v>
      </c>
      <c r="R36" s="2"/>
      <c r="S36" s="34">
        <v>8500</v>
      </c>
      <c r="T36" s="46">
        <v>0.045</v>
      </c>
      <c r="U36" s="7">
        <v>340</v>
      </c>
      <c r="V36" s="8"/>
      <c r="W36" s="2"/>
      <c r="X36" s="2"/>
    </row>
    <row r="37" spans="1:24" ht="15.75">
      <c r="A37" s="2"/>
      <c r="B37" s="2"/>
      <c r="C37" s="2"/>
      <c r="D37" s="2"/>
      <c r="E37" s="2"/>
      <c r="F37" s="2"/>
      <c r="G37" s="60"/>
      <c r="H37" s="2"/>
      <c r="I37" s="4" t="s">
        <v>76</v>
      </c>
      <c r="J37" s="14">
        <f>IF(FedHW&lt;&gt;"",(J28-FEDEXM-Fed_Deds+Fed_Oth_Inc),(J28-FEDEXM))</f>
        <v>83264.59999999999</v>
      </c>
      <c r="K37" s="14"/>
      <c r="L37" s="2"/>
      <c r="M37" s="2"/>
      <c r="N37" s="2"/>
      <c r="O37" s="7">
        <v>243450</v>
      </c>
      <c r="P37" s="39">
        <v>0.35</v>
      </c>
      <c r="Q37" s="7">
        <v>51226</v>
      </c>
      <c r="R37" s="2"/>
      <c r="S37" s="34">
        <v>11700</v>
      </c>
      <c r="T37" s="46">
        <v>0.0525</v>
      </c>
      <c r="U37" s="7">
        <v>484</v>
      </c>
      <c r="V37" s="8"/>
      <c r="W37" s="2"/>
      <c r="X37" s="2"/>
    </row>
    <row r="38" spans="1:24" ht="15.75">
      <c r="A38" s="2"/>
      <c r="B38" s="2"/>
      <c r="C38" s="61" t="s">
        <v>70</v>
      </c>
      <c r="D38" s="2"/>
      <c r="E38" s="2"/>
      <c r="F38" s="2"/>
      <c r="G38" s="2"/>
      <c r="H38" s="2"/>
      <c r="I38" s="4" t="s">
        <v>77</v>
      </c>
      <c r="J38" s="14">
        <f>IF(FedHW&lt;&gt;"",(J30-FEDEXM-Fed_Deds+Fed_Oth_Inc),(J30-FEDEXM))</f>
        <v>82064.59999999999</v>
      </c>
      <c r="K38" s="14"/>
      <c r="L38" s="2"/>
      <c r="M38" s="2"/>
      <c r="N38" s="2"/>
      <c r="O38" s="7">
        <v>590300</v>
      </c>
      <c r="P38" s="41">
        <v>0.37</v>
      </c>
      <c r="Q38" s="7">
        <v>172623.5</v>
      </c>
      <c r="R38" s="2"/>
      <c r="S38" s="34">
        <v>13900</v>
      </c>
      <c r="T38" s="46">
        <v>0.055</v>
      </c>
      <c r="U38" s="7">
        <v>600</v>
      </c>
      <c r="V38" s="8"/>
      <c r="W38" s="2"/>
      <c r="X38" s="2"/>
    </row>
    <row r="39" spans="1:24" ht="15.75">
      <c r="A39" s="2"/>
      <c r="B39" s="2"/>
      <c r="C39" s="2"/>
      <c r="D39" s="2"/>
      <c r="E39" s="2"/>
      <c r="F39" s="2"/>
      <c r="G39" s="2"/>
      <c r="H39" s="2"/>
      <c r="I39" s="4" t="s">
        <v>78</v>
      </c>
      <c r="J39" s="14">
        <f>IF(FedHW&lt;&gt;"",(J31-FEDEXM-Fed_Deds+Fed_Oth_Inc),(J31-FEDEXM))</f>
        <v>80864.59999999999</v>
      </c>
      <c r="K39" s="14"/>
      <c r="L39" s="2"/>
      <c r="M39" s="2"/>
      <c r="N39" s="2"/>
      <c r="O39" s="2"/>
      <c r="P39" s="2"/>
      <c r="Q39" s="2"/>
      <c r="R39" s="2"/>
      <c r="S39" s="34">
        <v>80650</v>
      </c>
      <c r="T39" s="46">
        <v>0.06</v>
      </c>
      <c r="U39" s="7">
        <v>4271</v>
      </c>
      <c r="V39" s="8"/>
      <c r="W39" s="2"/>
      <c r="X39" s="2"/>
    </row>
    <row r="40" spans="1:24" ht="15.75">
      <c r="A40" s="2" t="s">
        <v>504</v>
      </c>
      <c r="B40" s="2"/>
      <c r="C40" s="2"/>
      <c r="D40" s="2"/>
      <c r="E40" s="2"/>
      <c r="F40" s="2"/>
      <c r="G40" s="2"/>
      <c r="H40" s="2"/>
      <c r="I40" s="2"/>
      <c r="J40" s="2"/>
      <c r="K40" s="14"/>
      <c r="L40" s="2"/>
      <c r="M40" s="2"/>
      <c r="N40" s="2"/>
      <c r="O40" s="2"/>
      <c r="P40" s="8" t="s">
        <v>544</v>
      </c>
      <c r="Q40" s="8"/>
      <c r="R40" s="2"/>
      <c r="S40" s="34">
        <v>96800</v>
      </c>
      <c r="T40" s="46">
        <v>0.0667</v>
      </c>
      <c r="U40" s="7">
        <v>5240</v>
      </c>
      <c r="V40" s="8"/>
      <c r="W40" s="2"/>
      <c r="X40" s="2"/>
    </row>
    <row r="41" spans="1:24" ht="15.75">
      <c r="A41" s="2" t="s">
        <v>505</v>
      </c>
      <c r="B41" s="2"/>
      <c r="C41" s="2"/>
      <c r="D41" s="2"/>
      <c r="E41" s="2"/>
      <c r="F41" s="2"/>
      <c r="G41" s="2"/>
      <c r="H41" s="2"/>
      <c r="I41" s="4" t="s">
        <v>79</v>
      </c>
      <c r="J41" s="2"/>
      <c r="K41" s="14"/>
      <c r="L41" s="2"/>
      <c r="M41" s="2"/>
      <c r="N41" s="2"/>
      <c r="O41" s="20" t="s">
        <v>14</v>
      </c>
      <c r="P41" s="20" t="s">
        <v>15</v>
      </c>
      <c r="Q41" s="20" t="s">
        <v>16</v>
      </c>
      <c r="R41" s="2"/>
      <c r="S41" s="34">
        <v>107650</v>
      </c>
      <c r="T41" s="46">
        <v>0.0717</v>
      </c>
      <c r="U41" s="7">
        <v>5963</v>
      </c>
      <c r="V41" s="8"/>
      <c r="W41" s="2"/>
      <c r="X41" s="2"/>
    </row>
    <row r="42" spans="1:24" ht="15.75">
      <c r="A42" s="2" t="s">
        <v>506</v>
      </c>
      <c r="B42" s="2"/>
      <c r="C42" s="62" t="s">
        <v>500</v>
      </c>
      <c r="D42" s="2"/>
      <c r="E42" s="2"/>
      <c r="F42" s="2"/>
      <c r="G42" s="2"/>
      <c r="H42" s="2"/>
      <c r="I42" s="4" t="s">
        <v>81</v>
      </c>
      <c r="J42" s="14">
        <f>IF(FEDM_HW="M",VLOOKUP(FTG1,FTXTBLM,1),IF(FEDM_HW="A",VLOOKUP(FTG1,FTXTBLMHW,1),IF(FEDM_HW="S",VLOOKUP(FTG1,FTXTBLSH,1),IF(FEDM_HW="I",VLOOKUP(FTG1,FTXTBLSHW,1),IF(FEDM_HW="H",VLOOKUP(FTG1,FTXBLH,1),IF(FEDM_HW="E",VLOOKUP(FTG1,FTXTBLHHW,1)))))))</f>
        <v>36800</v>
      </c>
      <c r="K42" s="14"/>
      <c r="L42" s="20"/>
      <c r="M42" s="45"/>
      <c r="N42" s="2"/>
      <c r="O42" s="7">
        <v>-999999</v>
      </c>
      <c r="P42" s="7">
        <v>0</v>
      </c>
      <c r="Q42" s="7">
        <v>0</v>
      </c>
      <c r="R42" s="2"/>
      <c r="S42" s="34">
        <v>157650</v>
      </c>
      <c r="T42" s="46">
        <v>0.0811</v>
      </c>
      <c r="U42" s="7">
        <v>9546</v>
      </c>
      <c r="V42" s="8"/>
      <c r="W42" s="2"/>
      <c r="X42" s="2"/>
    </row>
    <row r="43" spans="1:24" ht="15.75">
      <c r="A43" s="2" t="s">
        <v>507</v>
      </c>
      <c r="B43" s="2"/>
      <c r="C43" s="62"/>
      <c r="D43" s="2"/>
      <c r="E43" s="2"/>
      <c r="F43" s="2"/>
      <c r="G43" s="2"/>
      <c r="H43" s="2"/>
      <c r="I43" s="4" t="s">
        <v>82</v>
      </c>
      <c r="J43" s="14">
        <f>IF(FEDM_HW="M",VLOOKUP(J35,FTXTBLM,1),IF(FEDM_HW="A",VLOOKUP(J35,FTXTBLMHW,1),IF(FEDM_HW="S",VLOOKUP(J35,FTXTBLSH,1),IF(FEDM_HW="I",VLOOKUP(J35,FTXTBLSHW,1),IF(FEDM_HW="H",VLOOKUP(J35,FTXBLH,1),IF(FEDM_HW="E",VLOOKUP(J35,FTXTBLHHW,1)))))))</f>
        <v>36800</v>
      </c>
      <c r="K43" s="2"/>
      <c r="L43" s="2"/>
      <c r="M43" s="2"/>
      <c r="N43" s="2"/>
      <c r="O43" s="7">
        <v>6925</v>
      </c>
      <c r="P43" s="7">
        <v>0.1</v>
      </c>
      <c r="Q43" s="7">
        <v>0</v>
      </c>
      <c r="R43" s="2"/>
      <c r="S43" s="34">
        <v>211550</v>
      </c>
      <c r="T43" s="46">
        <v>0.065</v>
      </c>
      <c r="U43" s="7">
        <v>13919</v>
      </c>
      <c r="V43" s="8"/>
      <c r="W43" s="2"/>
      <c r="X43" s="2"/>
    </row>
    <row r="44" spans="1:24" ht="15.75">
      <c r="A44" s="2" t="s">
        <v>508</v>
      </c>
      <c r="B44" s="2"/>
      <c r="C44" s="2"/>
      <c r="D44" s="2"/>
      <c r="E44" s="2"/>
      <c r="F44" s="2"/>
      <c r="G44" s="2"/>
      <c r="H44" s="2"/>
      <c r="I44" s="4" t="s">
        <v>83</v>
      </c>
      <c r="J44" s="14">
        <f>IF(FEDM_HW="M",VLOOKUP(J36,FTXTBLM,1),IF(FEDM_HW="A",VLOOKUP(J36,FTXTBLMHW,1),IF(FEDM_HW="S",VLOOKUP(J36,FTXTBLSH,1),IF(FEDM_HW="I",VLOOKUP(J36,FTXTBLSHW,1),IF(FEDM_HW="H",VLOOKUP(J36,FTXBLH,1),IF(FEDM_HW="E",VLOOKUP(J36,FTXTBLHHW,1)))))))</f>
        <v>36800</v>
      </c>
      <c r="K44" s="2"/>
      <c r="L44" s="2"/>
      <c r="M44" s="2"/>
      <c r="N44" s="2"/>
      <c r="O44" s="7">
        <v>12425</v>
      </c>
      <c r="P44" s="7">
        <v>0.12</v>
      </c>
      <c r="Q44" s="7">
        <v>550</v>
      </c>
      <c r="R44" s="2"/>
      <c r="S44" s="34">
        <v>323200</v>
      </c>
      <c r="T44" s="46">
        <v>0.1284</v>
      </c>
      <c r="U44" s="7">
        <v>21177</v>
      </c>
      <c r="V44" s="8"/>
      <c r="W44" s="2"/>
      <c r="X44" s="2"/>
    </row>
    <row r="45" spans="1:24" ht="15.75">
      <c r="A45" s="4" t="s">
        <v>509</v>
      </c>
      <c r="B45" s="2"/>
      <c r="C45" s="2"/>
      <c r="D45" s="2"/>
      <c r="E45" s="2"/>
      <c r="F45" s="2"/>
      <c r="G45" s="2"/>
      <c r="H45" s="2"/>
      <c r="I45" s="4" t="s">
        <v>85</v>
      </c>
      <c r="J45" s="14">
        <f>IF(FEDM_HW="M",VLOOKUP(J37,FTXTBLM,1),IF(FEDM_HW="A",VLOOKUP(J37,FTXTBLMHW,1),IF(FEDM_HW="S",VLOOKUP(J37,FTXTBLSH,1),IF(FEDM_HW="I",VLOOKUP(J37,FTXTBLSHW,1),IF(FEDM_HW="H",VLOOKUP(J37,FTXBLH,1),IF(FEDM_HW="E",VLOOKUP(J37,FTXTBLHHW,1)))))))</f>
        <v>36800</v>
      </c>
      <c r="K45" s="14"/>
      <c r="L45" s="2"/>
      <c r="M45" s="2"/>
      <c r="N45" s="2"/>
      <c r="O45" s="7">
        <v>29288</v>
      </c>
      <c r="P45" s="7">
        <v>0.22</v>
      </c>
      <c r="Q45" s="7">
        <v>2573.5</v>
      </c>
      <c r="R45" s="2"/>
      <c r="S45" s="34">
        <v>373200</v>
      </c>
      <c r="T45" s="46">
        <v>0.0735</v>
      </c>
      <c r="U45" s="7">
        <v>27599</v>
      </c>
      <c r="V45" s="8"/>
      <c r="W45" s="2"/>
      <c r="X45" s="2"/>
    </row>
    <row r="46" spans="1:24" ht="15.75">
      <c r="A46" s="4"/>
      <c r="B46" s="2"/>
      <c r="C46" s="2"/>
      <c r="D46" s="2"/>
      <c r="E46" s="2"/>
      <c r="F46" s="2"/>
      <c r="G46" s="2"/>
      <c r="H46" s="2"/>
      <c r="I46" s="4" t="s">
        <v>86</v>
      </c>
      <c r="J46" s="14">
        <f>IF(FEDM_HW="M",VLOOKUP(J38,FTXTBLM,1),IF(FEDM_HW="A",VLOOKUP(J38,FTXTBLMHW,1),IF(FEDM_HW="S",VLOOKUP(J38,FTXTBLSH,1),IF(FEDM_HW="I",VLOOKUP(J38,FTXTBLSHW,1),IF(FEDM_HW="H",VLOOKUP(J38,FTXBLH,1),IF(FEDM_HW="E",VLOOKUP(J38,FTXTBLHHW,1)))))))</f>
        <v>36800</v>
      </c>
      <c r="K46" s="14"/>
      <c r="L46" s="2"/>
      <c r="M46" s="2"/>
      <c r="N46" s="2"/>
      <c r="O46" s="7">
        <v>54613</v>
      </c>
      <c r="P46" s="7">
        <v>0.24</v>
      </c>
      <c r="Q46" s="7">
        <v>8145</v>
      </c>
      <c r="R46" s="2"/>
      <c r="S46" s="34">
        <v>1077550</v>
      </c>
      <c r="T46" s="46">
        <v>0.0765</v>
      </c>
      <c r="U46" s="7">
        <v>79368</v>
      </c>
      <c r="V46" s="8"/>
      <c r="W46" s="2"/>
      <c r="X46" s="2"/>
    </row>
    <row r="47" spans="1:24" ht="15.75">
      <c r="A47" s="4" t="s">
        <v>6</v>
      </c>
      <c r="B47" s="2"/>
      <c r="C47" s="2" t="s">
        <v>6</v>
      </c>
      <c r="D47" s="2"/>
      <c r="E47" s="2"/>
      <c r="F47" s="2"/>
      <c r="G47" s="2"/>
      <c r="H47" s="2"/>
      <c r="I47" s="4" t="s">
        <v>87</v>
      </c>
      <c r="J47" s="14">
        <f>IF(FEDM_HW="M",VLOOKUP(J39,FTXTBLM,1),IF(FEDM_HW="A",VLOOKUP(J39,FTXTBLMHW,1),IF(FEDM_HW="S",VLOOKUP(J39,FTXTBLSH,1),IF(FEDM_HW="I",VLOOKUP(J39,FTXTBLSHW,1),IF(FEDM_HW="H",VLOOKUP(J39,FTXBLH,1),IF(FEDM_HW="E",VLOOKUP(J39,FTXTBLHHW,1)))))))</f>
        <v>36800</v>
      </c>
      <c r="K47" s="2"/>
      <c r="L47" s="2"/>
      <c r="M47" s="2"/>
      <c r="N47" s="2"/>
      <c r="O47" s="7">
        <v>97975</v>
      </c>
      <c r="P47" s="39">
        <v>0.32</v>
      </c>
      <c r="Q47" s="7">
        <v>18552</v>
      </c>
      <c r="R47" s="2"/>
      <c r="S47" s="34">
        <v>2155350</v>
      </c>
      <c r="T47" s="46">
        <v>0.1045</v>
      </c>
      <c r="U47" s="7">
        <v>0</v>
      </c>
      <c r="V47" s="8"/>
      <c r="W47" s="2"/>
      <c r="X47" s="2"/>
    </row>
    <row r="48" spans="1:24" ht="15.75">
      <c r="A48" s="1" t="s">
        <v>80</v>
      </c>
      <c r="B48" s="2"/>
      <c r="C48" s="2" t="s">
        <v>6</v>
      </c>
      <c r="D48" s="2"/>
      <c r="E48" s="2"/>
      <c r="F48" s="2"/>
      <c r="G48" s="2"/>
      <c r="H48" s="2"/>
      <c r="I48" s="2"/>
      <c r="J48" s="2"/>
      <c r="K48" s="14"/>
      <c r="L48" s="2"/>
      <c r="M48" s="2"/>
      <c r="N48" s="2"/>
      <c r="O48" s="7">
        <v>122550</v>
      </c>
      <c r="P48" s="39">
        <v>0.35</v>
      </c>
      <c r="Q48" s="7">
        <v>26416</v>
      </c>
      <c r="R48" s="2"/>
      <c r="S48" s="34">
        <v>5000000</v>
      </c>
      <c r="T48" s="46">
        <v>0.111</v>
      </c>
      <c r="U48" s="7">
        <v>0</v>
      </c>
      <c r="V48" s="8"/>
      <c r="W48" s="2"/>
      <c r="X48" s="2"/>
    </row>
    <row r="49" spans="1:24" ht="15.75">
      <c r="A49" s="2"/>
      <c r="B49" s="2"/>
      <c r="C49" s="2"/>
      <c r="D49" s="2"/>
      <c r="E49" s="2"/>
      <c r="F49" s="2"/>
      <c r="G49" s="2"/>
      <c r="H49" s="2"/>
      <c r="I49" s="4" t="s">
        <v>88</v>
      </c>
      <c r="J49" s="2"/>
      <c r="K49" s="14"/>
      <c r="L49" s="2"/>
      <c r="M49" s="2"/>
      <c r="N49" s="2"/>
      <c r="O49" s="7">
        <v>295988</v>
      </c>
      <c r="P49" s="41">
        <v>0.37</v>
      </c>
      <c r="Q49" s="7">
        <v>87119.13</v>
      </c>
      <c r="R49" s="2"/>
      <c r="S49" s="34">
        <v>25000000</v>
      </c>
      <c r="T49" s="46">
        <v>0.117</v>
      </c>
      <c r="U49" s="7">
        <v>0</v>
      </c>
      <c r="V49" s="8"/>
      <c r="W49" s="2"/>
      <c r="X49" s="2"/>
    </row>
    <row r="50" spans="1:24" ht="15.75">
      <c r="A50" s="63" t="s">
        <v>842</v>
      </c>
      <c r="B50" s="2"/>
      <c r="C50" s="2"/>
      <c r="D50" s="2"/>
      <c r="E50" s="2"/>
      <c r="F50" s="2"/>
      <c r="G50" s="2"/>
      <c r="H50" s="2"/>
      <c r="I50" s="4" t="s">
        <v>89</v>
      </c>
      <c r="J50" s="14">
        <f>IF(FEDM_HW="M",VLOOKUP(FTG1,FTXTBLM,2),IF(FEDM_HW="A",VLOOKUP(FTG1,FTXTBLMHW,2),IF(FEDM_HW="S",VLOOKUP(FTG1,FTXTBLSH,2),IF(FEDM_HW="I",VLOOKUP(FTG1,FTXTBLSHW,2),IF(FEDM_HW="H",VLOOKUP(FTG1,FTXBLH,2),IF(FEDM_HW="E",VLOOKUP(FTG1,FTXTBLHHW,2)))))))</f>
        <v>0.12</v>
      </c>
      <c r="K50" s="14"/>
      <c r="L50" s="2"/>
      <c r="M50" s="2"/>
      <c r="N50" s="2"/>
      <c r="O50" s="7"/>
      <c r="P50" s="7"/>
      <c r="Q50" s="7"/>
      <c r="R50" s="2"/>
      <c r="S50" s="64"/>
      <c r="T50" s="65"/>
      <c r="U50" s="14"/>
      <c r="V50" s="2"/>
      <c r="W50" s="2"/>
      <c r="X50" s="2"/>
    </row>
    <row r="51" spans="1:24" ht="15.75">
      <c r="A51" s="4" t="s">
        <v>84</v>
      </c>
      <c r="B51" s="2"/>
      <c r="C51" s="2" t="s">
        <v>6</v>
      </c>
      <c r="D51" s="2"/>
      <c r="E51" s="2"/>
      <c r="F51" s="2"/>
      <c r="G51" s="2"/>
      <c r="H51" s="2"/>
      <c r="I51" s="4" t="s">
        <v>90</v>
      </c>
      <c r="J51" s="14">
        <f>IF(FEDM_HW="M",VLOOKUP(J35,FTXTBLM,2),IF(FEDM_HW="A",VLOOKUP(J35,FTXTBLMHW,2),IF(FEDM_HW="S",VLOOKUP(J35,FTXTBLSH,2),IF(FEDM_HW="I",VLOOKUP(J35,FTXTBLSHW,2),IF(FEDM_HW="H",VLOOKUP(J35,FTXBLH,2),IF(FEDM_HW="E",VLOOKUP(J35,FTXTBLHHW,2)))))))</f>
        <v>0.12</v>
      </c>
      <c r="K51" s="14"/>
      <c r="L51" s="2"/>
      <c r="M51" s="2"/>
      <c r="N51" s="2"/>
      <c r="O51" s="8"/>
      <c r="P51" s="8"/>
      <c r="Q51" s="8"/>
      <c r="R51" s="2"/>
      <c r="S51" s="64"/>
      <c r="T51" s="65"/>
      <c r="U51" s="14"/>
      <c r="V51" s="2"/>
      <c r="W51" s="2"/>
      <c r="X51" s="2"/>
    </row>
    <row r="52" spans="1:24" ht="15.75">
      <c r="A52" s="4"/>
      <c r="B52" s="2"/>
      <c r="C52" s="2"/>
      <c r="D52" s="2"/>
      <c r="E52" s="2"/>
      <c r="F52" s="2"/>
      <c r="G52" s="2"/>
      <c r="H52" s="2"/>
      <c r="I52" s="4" t="s">
        <v>91</v>
      </c>
      <c r="J52" s="14">
        <f>IF(FEDM_HW="M",VLOOKUP(J36,FTXTBLM,2),IF(FEDM_HW="A",VLOOKUP(J36,FTXTBLMHW,2),IF(FEDM_HW="S",VLOOKUP(J36,FTXTBLSH,2),IF(FEDM_HW="I",VLOOKUP(J36,FTXTBLSHW,2),IF(FEDM_HW="H",VLOOKUP(J36,FTXBLH,2),IF(FEDM_HW="E",VLOOKUP(J36,FTXTBLHHW,2)))))))</f>
        <v>0.12</v>
      </c>
      <c r="K52" s="14"/>
      <c r="L52" s="2"/>
      <c r="M52" s="2"/>
      <c r="N52" s="2"/>
      <c r="O52" s="20" t="s">
        <v>6</v>
      </c>
      <c r="P52" s="20" t="s">
        <v>46</v>
      </c>
      <c r="Q52" s="8"/>
      <c r="R52" s="2"/>
      <c r="S52" s="64"/>
      <c r="T52" s="65"/>
      <c r="U52" s="14"/>
      <c r="V52" s="2"/>
      <c r="W52" s="2"/>
      <c r="X52" s="2"/>
    </row>
    <row r="53" spans="1:24" ht="15.75">
      <c r="A53" s="66" t="s">
        <v>493</v>
      </c>
      <c r="B53" s="2"/>
      <c r="C53" s="2"/>
      <c r="D53" s="2"/>
      <c r="E53" s="2"/>
      <c r="F53" s="2"/>
      <c r="G53" s="2"/>
      <c r="H53" s="2"/>
      <c r="I53" s="4" t="s">
        <v>92</v>
      </c>
      <c r="J53" s="14">
        <f>IF(FEDM_HW="M",VLOOKUP(J37,FTXTBLM,2),IF(FEDM_HW="A",VLOOKUP(J37,FTXTBLMHW,2),IF(FEDM_HW="S",VLOOKUP(J37,FTXTBLSH,2),IF(FEDM_HW="I",VLOOKUP(J37,FTXTBLSHW,2),IF(FEDM_HW="H",VLOOKUP(J37,FTXBLH,2),IF(FEDM_HW="E",VLOOKUP(J37,FTXTBLHHW,2)))))))</f>
        <v>0.12</v>
      </c>
      <c r="K53" s="14"/>
      <c r="L53" s="2"/>
      <c r="M53" s="2"/>
      <c r="N53" s="2"/>
      <c r="O53" s="20" t="s">
        <v>14</v>
      </c>
      <c r="P53" s="20" t="s">
        <v>15</v>
      </c>
      <c r="Q53" s="20" t="s">
        <v>16</v>
      </c>
      <c r="R53" s="2"/>
      <c r="S53" s="64"/>
      <c r="T53" s="65"/>
      <c r="U53" s="14"/>
      <c r="V53" s="2"/>
      <c r="W53" s="2"/>
      <c r="X53" s="2"/>
    </row>
    <row r="54" spans="1:24" ht="15.75">
      <c r="A54" s="66"/>
      <c r="B54" s="2"/>
      <c r="C54" s="2"/>
      <c r="D54" s="2"/>
      <c r="E54" s="2"/>
      <c r="F54" s="2"/>
      <c r="G54" s="2"/>
      <c r="H54" s="2"/>
      <c r="I54" s="4" t="s">
        <v>93</v>
      </c>
      <c r="J54" s="14">
        <f>IF(FEDM_HW="M",VLOOKUP(J38,FTXTBLM,2),IF(FEDM_HW="A",VLOOKUP(J38,FTXTBLMHW,2),IF(FEDM_HW="S",VLOOKUP(J38,FTXTBLSH,2),IF(FEDM_HW="I",VLOOKUP(J38,FTXTBLSHW,2),IF(FEDM_HW="H",VLOOKUP(J38,FTXBLH,2),IF(FEDM_HW="E",VLOOKUP(J38,FTXTBLHHW,2)))))))</f>
        <v>0.12</v>
      </c>
      <c r="K54" s="2"/>
      <c r="L54" s="2"/>
      <c r="M54" s="2"/>
      <c r="N54" s="2"/>
      <c r="O54" s="7">
        <v>-999999</v>
      </c>
      <c r="P54" s="7">
        <v>0</v>
      </c>
      <c r="Q54" s="7">
        <v>0</v>
      </c>
      <c r="R54" s="2"/>
      <c r="S54" s="64"/>
      <c r="T54" s="65"/>
      <c r="U54" s="14"/>
      <c r="V54" s="2"/>
      <c r="W54" s="2"/>
      <c r="X54" s="2"/>
    </row>
    <row r="55" spans="1:24" ht="15.75">
      <c r="A55" s="66" t="s">
        <v>833</v>
      </c>
      <c r="B55" s="2"/>
      <c r="C55" s="2"/>
      <c r="D55" s="2"/>
      <c r="E55" s="2"/>
      <c r="F55" s="2"/>
      <c r="G55" s="2"/>
      <c r="H55" s="2"/>
      <c r="I55" s="4" t="s">
        <v>94</v>
      </c>
      <c r="J55" s="14">
        <f>IF(FEDM_HW="M",VLOOKUP(J39,FTXTBLM,2),IF(FEDM_HW="A",VLOOKUP(J39,FTXTBLMHW,2),IF(FEDM_HW="S",VLOOKUP(J39,FTXTBLSH,2),IF(FEDM_HW="I",VLOOKUP(J39,FTXTBLSHW,2),IF(FEDM_HW="H",VLOOKUP(J39,FTXBLH,2),IF(FEDM_HW="E",VLOOKUP(J39,FTXTBLHHW,2)))))))</f>
        <v>0.12</v>
      </c>
      <c r="K55" s="2"/>
      <c r="L55" s="2"/>
      <c r="M55" s="2"/>
      <c r="N55" s="2"/>
      <c r="O55" s="7">
        <v>13850</v>
      </c>
      <c r="P55" s="7">
        <v>0.1</v>
      </c>
      <c r="Q55" s="7">
        <v>0</v>
      </c>
      <c r="R55" s="2"/>
      <c r="S55" s="64"/>
      <c r="T55" s="65"/>
      <c r="U55" s="14"/>
      <c r="V55" s="2"/>
      <c r="W55" s="2"/>
      <c r="X55" s="2"/>
    </row>
    <row r="56" spans="1:24" ht="15.75">
      <c r="A56" s="4"/>
      <c r="B56" s="2"/>
      <c r="C56" s="2"/>
      <c r="D56" s="2"/>
      <c r="E56" s="2"/>
      <c r="F56" s="2"/>
      <c r="G56" s="2"/>
      <c r="H56" s="2"/>
      <c r="I56" s="2"/>
      <c r="J56" s="2"/>
      <c r="K56" s="14"/>
      <c r="L56" s="2"/>
      <c r="M56" s="2"/>
      <c r="N56" s="2"/>
      <c r="O56" s="7">
        <v>24850</v>
      </c>
      <c r="P56" s="7">
        <v>0.12</v>
      </c>
      <c r="Q56" s="7">
        <v>1100</v>
      </c>
      <c r="R56" s="2"/>
      <c r="S56" s="64"/>
      <c r="T56" s="65"/>
      <c r="U56" s="14"/>
      <c r="V56" s="2"/>
      <c r="W56" s="2"/>
      <c r="X56" s="2"/>
    </row>
    <row r="57" spans="1:24" ht="15.75">
      <c r="A57" s="66" t="s">
        <v>843</v>
      </c>
      <c r="B57" s="2"/>
      <c r="C57" s="2"/>
      <c r="D57" s="2"/>
      <c r="E57" s="2"/>
      <c r="F57" s="2"/>
      <c r="G57" s="2"/>
      <c r="H57" s="2"/>
      <c r="I57" s="4" t="s">
        <v>95</v>
      </c>
      <c r="J57" s="2"/>
      <c r="K57" s="14"/>
      <c r="L57" s="2"/>
      <c r="M57" s="2"/>
      <c r="N57" s="2"/>
      <c r="O57" s="7">
        <v>58575</v>
      </c>
      <c r="P57" s="7">
        <v>0.22</v>
      </c>
      <c r="Q57" s="7">
        <v>5147</v>
      </c>
      <c r="R57" s="2"/>
      <c r="S57" s="64"/>
      <c r="T57" s="65"/>
      <c r="U57" s="14"/>
      <c r="V57" s="2"/>
      <c r="W57" s="2"/>
      <c r="X57" s="2"/>
    </row>
    <row r="58" spans="1:24" ht="15.75">
      <c r="A58" s="4" t="s">
        <v>844</v>
      </c>
      <c r="B58" s="2"/>
      <c r="C58" s="2"/>
      <c r="D58" s="2"/>
      <c r="E58" s="2"/>
      <c r="F58" s="2"/>
      <c r="G58" s="2"/>
      <c r="H58" s="2"/>
      <c r="I58" s="4" t="s">
        <v>96</v>
      </c>
      <c r="J58" s="14">
        <f>IF(FEDM_HW="M",VLOOKUP(FTG1,FTXTBLM,3),IF(FEDM_HW="A",VLOOKUP(FTG1,FTXTBLMHW,3),IF(FEDM_HW="S",VLOOKUP(FTG1,FTXTBLSH,3),IF(FEDM_HW="I",VLOOKUP(FTG1,FTXTBLSHW,3),IF(FEDM_HW="H",VLOOKUP(FTG1,FTXBLH,3),IF(FEDM_HW="E",VLOOKUP(FTG1,FTXTBLHHW,3)))))))</f>
        <v>2200</v>
      </c>
      <c r="K58" s="14"/>
      <c r="L58" s="2"/>
      <c r="M58" s="2"/>
      <c r="N58" s="2"/>
      <c r="O58" s="7">
        <v>109225</v>
      </c>
      <c r="P58" s="7">
        <v>0.24</v>
      </c>
      <c r="Q58" s="7">
        <v>16290</v>
      </c>
      <c r="R58" s="2"/>
      <c r="S58" s="2"/>
      <c r="T58" s="2"/>
      <c r="U58" s="2"/>
      <c r="V58" s="2"/>
      <c r="W58" s="2"/>
      <c r="X58" s="2"/>
    </row>
    <row r="59" spans="1:24" ht="15.75">
      <c r="A59" s="2" t="s">
        <v>510</v>
      </c>
      <c r="B59" s="2"/>
      <c r="C59" s="2"/>
      <c r="D59" s="2"/>
      <c r="E59" s="2"/>
      <c r="F59" s="2"/>
      <c r="G59" s="2"/>
      <c r="H59" s="2"/>
      <c r="I59" s="4" t="s">
        <v>97</v>
      </c>
      <c r="J59" s="14">
        <f>IF(FEDM_HW="M",VLOOKUP(J35,FTXTBLM,3),IF(FEDM_HW="A",VLOOKUP(J35,FTXTBLMHW,3),IF(FEDM_HW="S",VLOOKUP(J35,FTXTBLSH,3),IF(FEDM_HW="I",VLOOKUP(J35,FTXTBLSHW,3),IF(FEDM_HW="H",VLOOKUP(J35,FTXBLH,3),IF(FEDM_HW="E",VLOOKUP(J35,FTXTBLHHW,3)))))))</f>
        <v>2200</v>
      </c>
      <c r="K59" s="14"/>
      <c r="L59" s="2"/>
      <c r="M59" s="2"/>
      <c r="N59" s="2"/>
      <c r="O59" s="7">
        <v>195950</v>
      </c>
      <c r="P59" s="7">
        <v>0.32</v>
      </c>
      <c r="Q59" s="7">
        <v>37104</v>
      </c>
      <c r="R59" s="2"/>
      <c r="S59" s="4" t="s">
        <v>100</v>
      </c>
      <c r="T59" s="2"/>
      <c r="U59" s="2"/>
      <c r="V59" s="2"/>
      <c r="W59" s="2"/>
      <c r="X59" s="2"/>
    </row>
    <row r="60" spans="1:24" ht="15.75">
      <c r="A60" s="2" t="s">
        <v>511</v>
      </c>
      <c r="B60" s="2"/>
      <c r="C60" s="2"/>
      <c r="D60" s="2"/>
      <c r="E60" s="2"/>
      <c r="F60" s="2"/>
      <c r="G60" s="2"/>
      <c r="H60" s="2"/>
      <c r="I60" s="4" t="s">
        <v>98</v>
      </c>
      <c r="J60" s="14">
        <f>IF(FEDM_HW="M",VLOOKUP(J36,FTXTBLM,3),IF(FEDM_HW="A",VLOOKUP(J36,FTXTBLMHW,3),IF(FEDM_HW="S",VLOOKUP(J36,FTXTBLSH,3),IF(FEDM_HW="I",VLOOKUP(J36,FTXTBLSHW,3),IF(FEDM_HW="H",VLOOKUP(J36,FTXBLH,3),IF(FEDM_HW="E",VLOOKUP(J36,FTXTBLHHW,3)))))))</f>
        <v>2200</v>
      </c>
      <c r="K60" s="14"/>
      <c r="L60" s="2"/>
      <c r="M60" s="2"/>
      <c r="N60" s="2"/>
      <c r="O60" s="7">
        <v>245100</v>
      </c>
      <c r="P60" s="39">
        <v>0.35</v>
      </c>
      <c r="Q60" s="7">
        <v>52832</v>
      </c>
      <c r="R60" s="2"/>
      <c r="S60" s="4" t="s">
        <v>102</v>
      </c>
      <c r="T60" s="4" t="s">
        <v>103</v>
      </c>
      <c r="U60" s="2"/>
      <c r="V60" s="2"/>
      <c r="W60" s="2"/>
      <c r="X60" s="2"/>
    </row>
    <row r="61" spans="1:24" ht="15.75">
      <c r="A61" s="2" t="s">
        <v>845</v>
      </c>
      <c r="B61" s="2"/>
      <c r="C61" s="2"/>
      <c r="D61" s="2"/>
      <c r="E61" s="2"/>
      <c r="F61" s="2"/>
      <c r="G61" s="2"/>
      <c r="H61" s="2"/>
      <c r="I61" s="4" t="s">
        <v>99</v>
      </c>
      <c r="J61" s="14">
        <f>IF(FEDM_HW="M",VLOOKUP(J37,FTXTBLM,3),IF(FEDM_HW="A",VLOOKUP(J37,FTXTBLMHW,3),IF(FEDM_HW="S",VLOOKUP(J37,FTXTBLSH,3),IF(FEDM_HW="I",VLOOKUP(J37,FTXTBLSHW,3),IF(FEDM_HW="H",VLOOKUP(J37,FTXBLH,3),IF(FEDM_HW="E",VLOOKUP(J37,FTXTBLHHW,3)))))))</f>
        <v>2200</v>
      </c>
      <c r="K61" s="14"/>
      <c r="L61" s="2"/>
      <c r="M61" s="2"/>
      <c r="N61" s="2"/>
      <c r="O61" s="7">
        <v>360725</v>
      </c>
      <c r="P61" s="41">
        <v>0.37</v>
      </c>
      <c r="Q61" s="7">
        <v>93300.75</v>
      </c>
      <c r="R61" s="2"/>
      <c r="S61" s="4" t="s">
        <v>105</v>
      </c>
      <c r="T61" s="2">
        <v>0</v>
      </c>
      <c r="U61" s="2">
        <v>1</v>
      </c>
      <c r="V61" s="2">
        <v>2</v>
      </c>
      <c r="W61" s="25" t="s">
        <v>106</v>
      </c>
      <c r="X61" s="2"/>
    </row>
    <row r="62" spans="1:24" ht="15.75">
      <c r="A62" s="61" t="s">
        <v>846</v>
      </c>
      <c r="B62" s="2"/>
      <c r="C62" s="2"/>
      <c r="D62" s="2"/>
      <c r="E62" s="2"/>
      <c r="F62" s="2"/>
      <c r="G62" s="2"/>
      <c r="H62" s="2"/>
      <c r="I62" s="4" t="s">
        <v>101</v>
      </c>
      <c r="J62" s="14">
        <f>IF(FEDM_HW="M",VLOOKUP(J38,FTXTBLM,3),IF(FEDM_HW="A",VLOOKUP(J38,FTXTBLMHW,3),IF(FEDM_HW="S",VLOOKUP(J38,FTXTBLSH,3),IF(FEDM_HW="I",VLOOKUP(J38,FTXTBLSHW,3),IF(FEDM_HW="H",VLOOKUP(J38,FTXBLH,3),IF(FEDM_HW="E",VLOOKUP(J38,FTXTBLHHW,3)))))))</f>
        <v>2200</v>
      </c>
      <c r="K62" s="2"/>
      <c r="L62" s="2"/>
      <c r="M62" s="2"/>
      <c r="N62" s="2"/>
      <c r="O62" s="7"/>
      <c r="P62" s="7"/>
      <c r="Q62" s="7"/>
      <c r="R62" s="2"/>
      <c r="S62" s="4" t="s">
        <v>26</v>
      </c>
      <c r="T62" s="2">
        <v>0</v>
      </c>
      <c r="U62" s="2">
        <v>0</v>
      </c>
      <c r="V62" s="2">
        <v>0</v>
      </c>
      <c r="W62" s="2">
        <v>0</v>
      </c>
      <c r="X62" s="4" t="s">
        <v>107</v>
      </c>
    </row>
    <row r="63" spans="1:24" ht="15.75">
      <c r="A63" s="2" t="s">
        <v>512</v>
      </c>
      <c r="B63" s="2"/>
      <c r="C63" s="2"/>
      <c r="D63" s="2"/>
      <c r="E63" s="2"/>
      <c r="F63" s="2"/>
      <c r="G63" s="2"/>
      <c r="H63" s="2"/>
      <c r="I63" s="4" t="s">
        <v>104</v>
      </c>
      <c r="J63" s="14">
        <f>IF(FEDM_HW="M",VLOOKUP(J39,FTXTBLM,3),IF(FEDM_HW="A",VLOOKUP(J39,FTXTBLMHW,3),IF(FEDM_HW="S",VLOOKUP(J39,FTXTBLSH,3),IF(FEDM_HW="I",VLOOKUP(J39,FTXTBLSHW,3),IF(FEDM_HW="H",VLOOKUP(J39,FTXBLH,3),IF(FEDM_HW="E",VLOOKUP(J39,FTXTBLHHW,3)))))))</f>
        <v>2200</v>
      </c>
      <c r="K63" s="2"/>
      <c r="L63" s="2"/>
      <c r="M63" s="2"/>
      <c r="N63" s="2"/>
      <c r="O63" s="8"/>
      <c r="P63" s="8" t="s">
        <v>536</v>
      </c>
      <c r="Q63" s="8"/>
      <c r="R63" s="2"/>
      <c r="S63" s="4" t="s">
        <v>109</v>
      </c>
      <c r="T63" s="2">
        <v>0</v>
      </c>
      <c r="U63" s="2">
        <v>0</v>
      </c>
      <c r="V63" s="2">
        <v>0</v>
      </c>
      <c r="W63" s="2">
        <v>0</v>
      </c>
      <c r="X63" s="4" t="s">
        <v>107</v>
      </c>
    </row>
    <row r="64" spans="1:24" ht="15.75">
      <c r="A64" s="2" t="s">
        <v>513</v>
      </c>
      <c r="B64" s="2"/>
      <c r="C64" s="62"/>
      <c r="D64" s="2"/>
      <c r="E64" s="2"/>
      <c r="F64" s="2"/>
      <c r="G64" s="2"/>
      <c r="H64" s="2"/>
      <c r="I64" s="2"/>
      <c r="J64" s="2"/>
      <c r="K64" s="14"/>
      <c r="L64" s="2"/>
      <c r="M64" s="2"/>
      <c r="N64" s="2"/>
      <c r="O64" s="20" t="s">
        <v>14</v>
      </c>
      <c r="P64" s="20" t="s">
        <v>15</v>
      </c>
      <c r="Q64" s="20" t="s">
        <v>16</v>
      </c>
      <c r="R64" s="2"/>
      <c r="S64" s="2"/>
      <c r="T64" s="2"/>
      <c r="U64" s="2"/>
      <c r="V64" s="2"/>
      <c r="W64" s="2"/>
      <c r="X64" s="2"/>
    </row>
    <row r="65" spans="1:24" ht="15.75">
      <c r="A65" s="2" t="s">
        <v>514</v>
      </c>
      <c r="B65" s="2"/>
      <c r="C65" s="2"/>
      <c r="D65" s="2"/>
      <c r="E65" s="2"/>
      <c r="F65" s="2"/>
      <c r="G65" s="2"/>
      <c r="H65" s="2"/>
      <c r="I65" s="4" t="s">
        <v>108</v>
      </c>
      <c r="J65" s="2"/>
      <c r="K65" s="14"/>
      <c r="L65" s="2"/>
      <c r="M65" s="2"/>
      <c r="N65" s="2"/>
      <c r="O65" s="7">
        <v>-999999</v>
      </c>
      <c r="P65" s="7">
        <v>0</v>
      </c>
      <c r="Q65" s="7">
        <v>0</v>
      </c>
      <c r="R65" s="2"/>
      <c r="S65" s="2"/>
      <c r="T65" s="2"/>
      <c r="U65" s="2"/>
      <c r="V65" s="2"/>
      <c r="W65" s="2"/>
      <c r="X65" s="2"/>
    </row>
    <row r="66" spans="1:24" ht="15.75">
      <c r="A66" s="2"/>
      <c r="B66" s="2"/>
      <c r="C66" s="2"/>
      <c r="D66" s="2"/>
      <c r="E66" s="2"/>
      <c r="F66" s="2"/>
      <c r="G66" s="2"/>
      <c r="H66" s="2"/>
      <c r="I66" s="4" t="s">
        <v>110</v>
      </c>
      <c r="J66" s="14">
        <f>(FTG1-FBSA1)</f>
        <v>50064.59999999999</v>
      </c>
      <c r="K66" s="14"/>
      <c r="L66" s="2"/>
      <c r="M66" s="2"/>
      <c r="N66" s="2"/>
      <c r="O66" s="7">
        <v>10400</v>
      </c>
      <c r="P66" s="7">
        <v>0.1</v>
      </c>
      <c r="Q66" s="7">
        <v>0</v>
      </c>
      <c r="R66" s="2"/>
      <c r="S66" s="2"/>
      <c r="T66" s="2"/>
      <c r="U66" s="2"/>
      <c r="V66" s="2"/>
      <c r="W66" s="2"/>
      <c r="X66" s="2"/>
    </row>
    <row r="67" spans="1:24" ht="15.75">
      <c r="A67" s="63" t="s">
        <v>847</v>
      </c>
      <c r="B67" s="2"/>
      <c r="C67" s="2"/>
      <c r="D67" s="2"/>
      <c r="E67" s="2"/>
      <c r="F67" s="2"/>
      <c r="G67" s="2"/>
      <c r="H67" s="2"/>
      <c r="I67" s="4" t="s">
        <v>111</v>
      </c>
      <c r="J67" s="14">
        <f>(J35-J43)</f>
        <v>48864.59999999999</v>
      </c>
      <c r="K67" s="14"/>
      <c r="L67" s="2"/>
      <c r="M67" s="2"/>
      <c r="N67" s="2"/>
      <c r="O67" s="7">
        <v>18250</v>
      </c>
      <c r="P67" s="7">
        <v>0.12</v>
      </c>
      <c r="Q67" s="7">
        <v>785</v>
      </c>
      <c r="R67" s="2"/>
      <c r="S67" s="2"/>
      <c r="T67" s="2"/>
      <c r="U67" s="2"/>
      <c r="V67" s="2"/>
      <c r="W67" s="2"/>
      <c r="X67" s="2"/>
    </row>
    <row r="68" spans="1:24" ht="15.75">
      <c r="A68" s="2"/>
      <c r="B68" s="2"/>
      <c r="C68" s="2"/>
      <c r="D68" s="2"/>
      <c r="E68" s="2"/>
      <c r="F68" s="2"/>
      <c r="G68" s="2"/>
      <c r="H68" s="2"/>
      <c r="I68" s="4" t="s">
        <v>112</v>
      </c>
      <c r="J68" s="14">
        <f>(J36-J44)</f>
        <v>47664.59999999999</v>
      </c>
      <c r="K68" s="14"/>
      <c r="L68" s="2"/>
      <c r="M68" s="2"/>
      <c r="N68" s="2"/>
      <c r="O68" s="7">
        <v>40325</v>
      </c>
      <c r="P68" s="7">
        <v>0.22</v>
      </c>
      <c r="Q68" s="7">
        <v>3434</v>
      </c>
      <c r="R68" s="2"/>
      <c r="S68" s="2"/>
      <c r="T68" s="2"/>
      <c r="U68" s="2"/>
      <c r="V68" s="2"/>
      <c r="W68" s="2"/>
      <c r="X68" s="2"/>
    </row>
    <row r="69" spans="1:24" ht="15.75">
      <c r="A69" s="63" t="s">
        <v>848</v>
      </c>
      <c r="B69" s="2"/>
      <c r="C69" s="2"/>
      <c r="D69" s="2"/>
      <c r="E69" s="2"/>
      <c r="F69" s="2"/>
      <c r="G69" s="2"/>
      <c r="H69" s="2"/>
      <c r="I69" s="4" t="s">
        <v>113</v>
      </c>
      <c r="J69" s="14">
        <f>(J37-J45)</f>
        <v>46464.59999999999</v>
      </c>
      <c r="K69" s="14"/>
      <c r="L69" s="2"/>
      <c r="M69" s="2"/>
      <c r="N69" s="2"/>
      <c r="O69" s="7">
        <v>58075</v>
      </c>
      <c r="P69" s="7">
        <v>0.24</v>
      </c>
      <c r="Q69" s="7">
        <v>7339</v>
      </c>
      <c r="R69" s="2"/>
      <c r="S69" s="2"/>
      <c r="T69" s="2"/>
      <c r="U69" s="2"/>
      <c r="V69" s="2"/>
      <c r="W69" s="2"/>
      <c r="X69" s="2"/>
    </row>
    <row r="70" spans="1:24" ht="15.75">
      <c r="A70" s="2"/>
      <c r="B70" s="2"/>
      <c r="C70" s="2"/>
      <c r="D70" s="2"/>
      <c r="E70" s="2"/>
      <c r="F70" s="2"/>
      <c r="G70" s="2"/>
      <c r="H70" s="2"/>
      <c r="I70" s="4" t="s">
        <v>114</v>
      </c>
      <c r="J70" s="14">
        <f>(J38-J46)</f>
        <v>45264.59999999999</v>
      </c>
      <c r="K70" s="2"/>
      <c r="L70" s="2"/>
      <c r="M70" s="2"/>
      <c r="N70" s="2"/>
      <c r="O70" s="7">
        <v>101450</v>
      </c>
      <c r="P70" s="39">
        <v>0.32</v>
      </c>
      <c r="Q70" s="7">
        <v>17749</v>
      </c>
      <c r="R70" s="2"/>
      <c r="S70" s="2"/>
      <c r="T70" s="2"/>
      <c r="U70" s="2"/>
      <c r="V70" s="2"/>
      <c r="W70" s="2"/>
      <c r="X70" s="2"/>
    </row>
    <row r="71" spans="1:24" ht="15.75">
      <c r="A71" s="63" t="s">
        <v>849</v>
      </c>
      <c r="B71" s="2"/>
      <c r="C71" s="2"/>
      <c r="D71" s="2"/>
      <c r="E71" s="2"/>
      <c r="F71" s="2"/>
      <c r="G71" s="2"/>
      <c r="H71" s="2"/>
      <c r="I71" s="4" t="s">
        <v>115</v>
      </c>
      <c r="J71" s="14">
        <f>(J39-J47)</f>
        <v>44064.59999999999</v>
      </c>
      <c r="K71" s="2"/>
      <c r="L71" s="2"/>
      <c r="M71" s="2"/>
      <c r="N71" s="2"/>
      <c r="O71" s="7">
        <v>126025</v>
      </c>
      <c r="P71" s="39">
        <v>0.35</v>
      </c>
      <c r="Q71" s="7">
        <v>25613</v>
      </c>
      <c r="R71" s="2"/>
      <c r="S71" s="2"/>
      <c r="T71" s="2"/>
      <c r="U71" s="2"/>
      <c r="V71" s="2"/>
      <c r="W71" s="2"/>
      <c r="X71" s="2"/>
    </row>
    <row r="72" spans="1:24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14"/>
      <c r="L72" s="2"/>
      <c r="M72" s="2"/>
      <c r="N72" s="2"/>
      <c r="O72" s="7">
        <v>299450</v>
      </c>
      <c r="P72" s="41">
        <v>0.37</v>
      </c>
      <c r="Q72" s="7">
        <v>86311.75</v>
      </c>
      <c r="R72" s="2"/>
      <c r="S72" s="2"/>
      <c r="T72" s="2"/>
      <c r="U72" s="2"/>
      <c r="V72" s="2"/>
      <c r="W72" s="2"/>
      <c r="X72" s="2"/>
    </row>
    <row r="73" spans="1:24" ht="15.75">
      <c r="A73" s="63" t="s">
        <v>850</v>
      </c>
      <c r="B73" s="2"/>
      <c r="C73" s="2"/>
      <c r="D73" s="2"/>
      <c r="E73" s="2"/>
      <c r="F73" s="2"/>
      <c r="G73" s="2"/>
      <c r="H73" s="2"/>
      <c r="I73" s="4" t="s">
        <v>117</v>
      </c>
      <c r="J73" s="2"/>
      <c r="K73" s="14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5.75">
      <c r="A74" s="2" t="s">
        <v>549</v>
      </c>
      <c r="B74" s="2"/>
      <c r="C74" s="2"/>
      <c r="D74" s="2"/>
      <c r="E74" s="2"/>
      <c r="F74" s="2"/>
      <c r="G74" s="2"/>
      <c r="H74" s="2"/>
      <c r="I74" s="4" t="s">
        <v>118</v>
      </c>
      <c r="J74" s="14">
        <f>IF(FedHW="",(FBST1+ROUND(FOVR1*FMTR1,5)),(FBST1+ROUND((FOVR1*FMTR1)-Fed_Claim_Dpnts,5)))</f>
        <v>8207.752</v>
      </c>
      <c r="K74" s="14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5.75">
      <c r="A75" s="2"/>
      <c r="B75" s="2"/>
      <c r="C75" s="2"/>
      <c r="D75" s="2"/>
      <c r="E75" s="2"/>
      <c r="F75" s="2"/>
      <c r="G75" s="2"/>
      <c r="H75" s="2"/>
      <c r="I75" s="4" t="s">
        <v>119</v>
      </c>
      <c r="J75" s="14">
        <f>IF(FedHW="",(J59+ROUND(J67*FMTR2,5)),(J59+ROUND((J67*FMTR2)-Fed_Claim_Dpnts,5)))</f>
        <v>8063.752</v>
      </c>
      <c r="K75" s="14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5.75">
      <c r="A76" s="63" t="s">
        <v>851</v>
      </c>
      <c r="B76" s="2"/>
      <c r="C76" s="2"/>
      <c r="D76" s="2"/>
      <c r="E76" s="2"/>
      <c r="F76" s="2"/>
      <c r="G76" s="2"/>
      <c r="H76" s="2"/>
      <c r="I76" s="4" t="s">
        <v>120</v>
      </c>
      <c r="J76" s="14">
        <f>IF(FedHW="",(J60+ROUND(J68*FMTR3,5)),(J60+ROUND((J68*FMTR3)-Fed_Claim_Dpnts,5)))</f>
        <v>7919.752</v>
      </c>
      <c r="K76" s="14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5.75">
      <c r="A77" s="2" t="s">
        <v>549</v>
      </c>
      <c r="B77" s="2"/>
      <c r="C77" s="2"/>
      <c r="D77" s="2"/>
      <c r="E77" s="2"/>
      <c r="F77" s="2"/>
      <c r="G77" s="2"/>
      <c r="H77" s="2"/>
      <c r="I77" s="4" t="s">
        <v>121</v>
      </c>
      <c r="J77" s="14">
        <f>IF(FedHW="",(J61+ROUND(J69*FMTR4,5)),(J61+ROUND((J69*FMTR4)-Fed_Claim_Dpnts,5)))</f>
        <v>7775.752</v>
      </c>
      <c r="K77" s="14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5.75">
      <c r="A78" s="2"/>
      <c r="B78" s="2"/>
      <c r="C78" s="2"/>
      <c r="D78" s="2"/>
      <c r="E78" s="2"/>
      <c r="F78" s="2"/>
      <c r="G78" s="2"/>
      <c r="H78" s="2"/>
      <c r="I78" s="4" t="s">
        <v>122</v>
      </c>
      <c r="J78" s="14">
        <f>IF(FedHW="",(J62+ROUND(J70*FMTR5,5)),(J62+ROUND((J70*FMTR5)-Fed_Claim_Dpnts,5)))</f>
        <v>7631.752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5.75">
      <c r="A79" s="63" t="s">
        <v>852</v>
      </c>
      <c r="B79" s="2"/>
      <c r="C79" s="2"/>
      <c r="D79" s="2"/>
      <c r="E79" s="2"/>
      <c r="F79" s="2"/>
      <c r="G79" s="2"/>
      <c r="H79" s="2"/>
      <c r="I79" s="4" t="s">
        <v>123</v>
      </c>
      <c r="J79" s="14">
        <f>IF(FedHW="",(J63+ROUND(J71*FMTR6,5)),(J63+ROUND((J71*FMTR6)-Fed_Claim_Dpnts,5)))</f>
        <v>7487.752</v>
      </c>
      <c r="K79" s="2"/>
      <c r="L79" s="2" t="s">
        <v>203</v>
      </c>
      <c r="M79" s="2" t="s">
        <v>204</v>
      </c>
      <c r="N79" s="2" t="s">
        <v>205</v>
      </c>
      <c r="O79" s="2" t="s">
        <v>206</v>
      </c>
      <c r="P79" s="4" t="s">
        <v>709</v>
      </c>
      <c r="Q79" s="25" t="s">
        <v>204</v>
      </c>
      <c r="R79" s="2"/>
      <c r="S79" s="2"/>
      <c r="T79" s="2"/>
      <c r="U79" s="2"/>
      <c r="V79" s="2"/>
      <c r="W79" s="2"/>
      <c r="X79" s="2"/>
    </row>
    <row r="80" spans="1:24" ht="15.75">
      <c r="A80" s="2" t="s">
        <v>549</v>
      </c>
      <c r="B80" s="2"/>
      <c r="C80" s="2"/>
      <c r="D80" s="2"/>
      <c r="E80" s="2"/>
      <c r="F80" s="2"/>
      <c r="G80" s="2"/>
      <c r="H80" s="2"/>
      <c r="I80" s="2"/>
      <c r="J80" s="2"/>
      <c r="K80" s="14"/>
      <c r="L80" s="2" t="s">
        <v>537</v>
      </c>
      <c r="M80" s="67">
        <v>0.06</v>
      </c>
      <c r="N80" s="68">
        <v>317</v>
      </c>
      <c r="O80" s="2" t="s">
        <v>199</v>
      </c>
      <c r="P80" s="69" t="s">
        <v>712</v>
      </c>
      <c r="Q80" s="70">
        <v>0.035</v>
      </c>
      <c r="R80" s="2"/>
      <c r="S80" s="2"/>
      <c r="T80" s="2"/>
      <c r="U80" s="2"/>
      <c r="V80" s="2"/>
      <c r="W80" s="2"/>
      <c r="X80" s="2"/>
    </row>
    <row r="81" spans="1:24" ht="15.75">
      <c r="A81" s="2"/>
      <c r="B81" s="2"/>
      <c r="C81" s="2"/>
      <c r="D81" s="2"/>
      <c r="E81" s="2"/>
      <c r="F81" s="2"/>
      <c r="G81" s="2"/>
      <c r="H81" s="2"/>
      <c r="I81" s="4" t="s">
        <v>125</v>
      </c>
      <c r="J81" s="2"/>
      <c r="K81" s="14"/>
      <c r="L81" s="2" t="s">
        <v>207</v>
      </c>
      <c r="M81" s="67">
        <v>0.0375</v>
      </c>
      <c r="N81" s="68">
        <v>0</v>
      </c>
      <c r="O81" s="2" t="s">
        <v>199</v>
      </c>
      <c r="P81" s="69" t="s">
        <v>713</v>
      </c>
      <c r="Q81" s="71">
        <v>0.017</v>
      </c>
      <c r="R81" s="2"/>
      <c r="S81" s="2"/>
      <c r="T81" s="2"/>
      <c r="U81" s="2"/>
      <c r="V81" s="2"/>
      <c r="W81" s="2"/>
      <c r="X81" s="2"/>
    </row>
    <row r="82" spans="1:24" ht="15.75">
      <c r="A82" s="63" t="s">
        <v>853</v>
      </c>
      <c r="B82" s="2"/>
      <c r="C82" s="2"/>
      <c r="D82" s="2"/>
      <c r="E82" s="2"/>
      <c r="F82" s="2"/>
      <c r="G82" s="2"/>
      <c r="H82" s="2"/>
      <c r="I82" s="4" t="s">
        <v>126</v>
      </c>
      <c r="J82" s="14">
        <f aca="true" t="shared" si="7" ref="J82:J87">IF(FEDM="E",0,IF(K82&lt;0,0,K82))</f>
        <v>683.98</v>
      </c>
      <c r="K82" s="72">
        <f>IF(FEDM="E",0,(ROUND(FTA1/PAYFACT,2)))</f>
        <v>683.98</v>
      </c>
      <c r="L82" s="2" t="s">
        <v>208</v>
      </c>
      <c r="M82" s="67">
        <v>0</v>
      </c>
      <c r="N82" s="68">
        <v>0</v>
      </c>
      <c r="O82" s="2" t="s">
        <v>199</v>
      </c>
      <c r="P82" s="69" t="s">
        <v>714</v>
      </c>
      <c r="Q82" s="71">
        <v>0.035</v>
      </c>
      <c r="R82" s="2"/>
      <c r="S82" s="2"/>
      <c r="T82" s="2"/>
      <c r="U82" s="2"/>
      <c r="V82" s="2"/>
      <c r="W82" s="2"/>
      <c r="X82" s="2"/>
    </row>
    <row r="83" spans="1:24" ht="15.75">
      <c r="A83" s="2" t="s">
        <v>549</v>
      </c>
      <c r="B83" s="2"/>
      <c r="C83" s="2"/>
      <c r="D83" s="2"/>
      <c r="E83" s="2"/>
      <c r="F83" s="2"/>
      <c r="G83" s="2"/>
      <c r="H83" s="2"/>
      <c r="I83" s="4" t="s">
        <v>127</v>
      </c>
      <c r="J83" s="14">
        <f t="shared" si="7"/>
        <v>671.98</v>
      </c>
      <c r="K83" s="72">
        <f>IF(FEDM="E",0,(ROUND(J75/PAYFACT,2)))</f>
        <v>671.98</v>
      </c>
      <c r="L83" s="2" t="s">
        <v>209</v>
      </c>
      <c r="M83" s="67">
        <v>0.0375</v>
      </c>
      <c r="N83" s="68">
        <v>0</v>
      </c>
      <c r="O83" s="2" t="s">
        <v>12</v>
      </c>
      <c r="P83" s="69" t="s">
        <v>715</v>
      </c>
      <c r="Q83" s="71">
        <v>0.035</v>
      </c>
      <c r="R83" s="2"/>
      <c r="S83" s="2"/>
      <c r="T83" s="2"/>
      <c r="U83" s="2"/>
      <c r="V83" s="2"/>
      <c r="W83" s="2"/>
      <c r="X83" s="2"/>
    </row>
    <row r="84" spans="1:24" ht="15.75">
      <c r="A84" s="2"/>
      <c r="B84" s="2"/>
      <c r="C84" s="2"/>
      <c r="D84" s="2"/>
      <c r="E84" s="2"/>
      <c r="F84" s="2"/>
      <c r="G84" s="2"/>
      <c r="H84" s="2"/>
      <c r="I84" s="4" t="s">
        <v>128</v>
      </c>
      <c r="J84" s="14">
        <f t="shared" si="7"/>
        <v>659.98</v>
      </c>
      <c r="K84" s="72">
        <f>IF(FEDM="E",0,(ROUND(J76/PAYFACT,2)))</f>
        <v>659.98</v>
      </c>
      <c r="L84" s="2" t="s">
        <v>210</v>
      </c>
      <c r="M84" s="67">
        <v>0.0375</v>
      </c>
      <c r="N84" s="68">
        <v>0</v>
      </c>
      <c r="O84" s="2" t="s">
        <v>12</v>
      </c>
      <c r="P84" s="69" t="s">
        <v>716</v>
      </c>
      <c r="Q84" s="71">
        <v>0.017</v>
      </c>
      <c r="R84" s="2"/>
      <c r="S84" s="2"/>
      <c r="T84" s="2"/>
      <c r="U84" s="2"/>
      <c r="V84" s="2"/>
      <c r="W84" s="2"/>
      <c r="X84" s="2"/>
    </row>
    <row r="85" spans="1:24" ht="15.75">
      <c r="A85" s="63" t="s">
        <v>854</v>
      </c>
      <c r="B85" s="2"/>
      <c r="C85" s="2"/>
      <c r="D85" s="2"/>
      <c r="E85" s="2"/>
      <c r="F85" s="2"/>
      <c r="G85" s="2"/>
      <c r="H85" s="2"/>
      <c r="I85" s="4" t="s">
        <v>129</v>
      </c>
      <c r="J85" s="14">
        <f t="shared" si="7"/>
        <v>647.98</v>
      </c>
      <c r="K85" s="72">
        <f>IF(FEDM="E",0,(ROUND(J77/PAYFACT,2)))</f>
        <v>647.98</v>
      </c>
      <c r="L85" s="2" t="s">
        <v>363</v>
      </c>
      <c r="M85" s="67">
        <v>0.095</v>
      </c>
      <c r="N85" s="68">
        <v>513</v>
      </c>
      <c r="O85" s="2" t="s">
        <v>12</v>
      </c>
      <c r="P85" s="69" t="s">
        <v>717</v>
      </c>
      <c r="Q85" s="71">
        <v>0.04</v>
      </c>
      <c r="R85" s="2"/>
      <c r="S85" s="2"/>
      <c r="T85" s="2"/>
      <c r="U85" s="2"/>
      <c r="V85" s="2"/>
      <c r="W85" s="2"/>
      <c r="X85" s="2"/>
    </row>
    <row r="86" spans="1:24" ht="15.75">
      <c r="A86" s="2"/>
      <c r="B86" s="2"/>
      <c r="C86" s="2"/>
      <c r="D86" s="2"/>
      <c r="E86" s="2"/>
      <c r="F86" s="2"/>
      <c r="G86" s="2"/>
      <c r="H86" s="2"/>
      <c r="I86" s="4" t="s">
        <v>130</v>
      </c>
      <c r="J86" s="14">
        <f t="shared" si="7"/>
        <v>635.98</v>
      </c>
      <c r="K86" s="4">
        <f>IF(FEDM="E",0,(ROUND(J78/PAYFACT,2)))</f>
        <v>635.98</v>
      </c>
      <c r="L86" s="2" t="s">
        <v>286</v>
      </c>
      <c r="M86" s="67">
        <v>0.1</v>
      </c>
      <c r="N86" s="68">
        <v>317</v>
      </c>
      <c r="O86" s="2" t="s">
        <v>9</v>
      </c>
      <c r="P86" s="69" t="s">
        <v>718</v>
      </c>
      <c r="Q86" s="71">
        <v>0.04</v>
      </c>
      <c r="R86" s="2"/>
      <c r="S86" s="2"/>
      <c r="T86" s="2"/>
      <c r="U86" s="2"/>
      <c r="V86" s="2"/>
      <c r="W86" s="2"/>
      <c r="X86" s="2"/>
    </row>
    <row r="87" spans="1:24" ht="15.75">
      <c r="A87" s="63" t="s">
        <v>855</v>
      </c>
      <c r="B87" s="2"/>
      <c r="C87" s="2"/>
      <c r="D87" s="2"/>
      <c r="E87" s="2"/>
      <c r="F87" s="2"/>
      <c r="G87" s="2"/>
      <c r="H87" s="2"/>
      <c r="I87" s="4" t="s">
        <v>131</v>
      </c>
      <c r="J87" s="14">
        <f t="shared" si="7"/>
        <v>623.98</v>
      </c>
      <c r="K87" s="4">
        <f>IF(FEDM="E",0,(ROUND(J79/PAYFACT,2)))</f>
        <v>623.98</v>
      </c>
      <c r="L87" s="2" t="s">
        <v>364</v>
      </c>
      <c r="M87" s="67">
        <v>0.125</v>
      </c>
      <c r="N87" s="68">
        <v>513</v>
      </c>
      <c r="O87" s="2" t="s">
        <v>12</v>
      </c>
      <c r="P87" s="69" t="s">
        <v>719</v>
      </c>
      <c r="Q87" s="71">
        <v>0.034</v>
      </c>
      <c r="R87" s="2"/>
      <c r="S87" s="2"/>
      <c r="T87" s="2"/>
      <c r="U87" s="2"/>
      <c r="V87" s="2"/>
      <c r="W87" s="2"/>
      <c r="X87" s="2"/>
    </row>
    <row r="88" spans="1:24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14"/>
      <c r="L88" s="2" t="s">
        <v>365</v>
      </c>
      <c r="M88" s="67">
        <v>0.05</v>
      </c>
      <c r="N88" s="68">
        <v>513</v>
      </c>
      <c r="O88" s="2" t="s">
        <v>12</v>
      </c>
      <c r="P88" s="69" t="s">
        <v>720</v>
      </c>
      <c r="Q88" s="71">
        <v>0.02</v>
      </c>
      <c r="R88" s="2"/>
      <c r="S88" s="2"/>
      <c r="T88" s="2"/>
      <c r="U88" s="2"/>
      <c r="V88" s="2"/>
      <c r="W88" s="2"/>
      <c r="X88" s="2"/>
    </row>
    <row r="89" spans="1:24" ht="15.75">
      <c r="A89" s="63" t="s">
        <v>856</v>
      </c>
      <c r="B89" s="2"/>
      <c r="C89" s="2"/>
      <c r="D89" s="2"/>
      <c r="E89" s="2"/>
      <c r="F89" s="2"/>
      <c r="G89" s="2"/>
      <c r="H89" s="2"/>
      <c r="I89" s="4" t="s">
        <v>132</v>
      </c>
      <c r="J89" s="2"/>
      <c r="K89" s="14"/>
      <c r="L89" s="2" t="s">
        <v>366</v>
      </c>
      <c r="M89" s="67">
        <v>0.08</v>
      </c>
      <c r="N89" s="68">
        <v>513</v>
      </c>
      <c r="O89" s="2" t="s">
        <v>12</v>
      </c>
      <c r="P89" s="69" t="s">
        <v>721</v>
      </c>
      <c r="Q89" s="71">
        <v>0.021</v>
      </c>
      <c r="R89" s="2"/>
      <c r="S89" s="2"/>
      <c r="T89" s="2"/>
      <c r="U89" s="2"/>
      <c r="V89" s="2"/>
      <c r="W89" s="2"/>
      <c r="X89" s="2"/>
    </row>
    <row r="90" spans="1:24" ht="15.75">
      <c r="A90" s="63"/>
      <c r="B90" s="2"/>
      <c r="C90" s="2"/>
      <c r="D90" s="2"/>
      <c r="E90" s="2"/>
      <c r="F90" s="2"/>
      <c r="G90" s="2"/>
      <c r="H90" s="2"/>
      <c r="I90" s="4" t="s">
        <v>133</v>
      </c>
      <c r="J90" s="14">
        <f>IF(STM="S",LIES,IF(AND(STM="M",STE&lt;2),LIEM1,IF(AND(STM="M",STE&gt;=2),LIEM2,IF(STM="H",LIEH,99999))))</f>
        <v>0</v>
      </c>
      <c r="K90" s="14"/>
      <c r="L90" s="2" t="s">
        <v>516</v>
      </c>
      <c r="M90" s="67">
        <v>0.085</v>
      </c>
      <c r="N90" s="68">
        <v>513</v>
      </c>
      <c r="O90" s="2" t="s">
        <v>12</v>
      </c>
      <c r="P90" s="69" t="s">
        <v>722</v>
      </c>
      <c r="Q90" s="71">
        <v>0.035</v>
      </c>
      <c r="R90" s="2"/>
      <c r="S90" s="2"/>
      <c r="T90" s="2"/>
      <c r="U90" s="2"/>
      <c r="V90" s="2"/>
      <c r="W90" s="2"/>
      <c r="X90" s="2"/>
    </row>
    <row r="91" spans="1:24" ht="15.75">
      <c r="A91" s="63" t="s">
        <v>857</v>
      </c>
      <c r="B91" s="2"/>
      <c r="C91" s="2"/>
      <c r="D91" s="2"/>
      <c r="E91" s="2"/>
      <c r="F91" s="2"/>
      <c r="G91" s="2"/>
      <c r="H91" s="2"/>
      <c r="I91" s="4" t="s">
        <v>134</v>
      </c>
      <c r="J91" s="14">
        <f>(STA*SADDALL)</f>
        <v>0</v>
      </c>
      <c r="K91" s="14"/>
      <c r="L91" s="2" t="s">
        <v>517</v>
      </c>
      <c r="M91" s="67">
        <v>0.085</v>
      </c>
      <c r="N91" s="68">
        <v>513</v>
      </c>
      <c r="O91" s="2" t="s">
        <v>12</v>
      </c>
      <c r="P91" s="69" t="s">
        <v>723</v>
      </c>
      <c r="Q91" s="71">
        <v>0.041</v>
      </c>
      <c r="R91" s="2"/>
      <c r="S91" s="2"/>
      <c r="T91" s="2"/>
      <c r="U91" s="2"/>
      <c r="V91" s="2"/>
      <c r="W91" s="2"/>
      <c r="X91" s="2"/>
    </row>
    <row r="92" spans="1:24" ht="15.75">
      <c r="A92" s="2"/>
      <c r="B92" s="2"/>
      <c r="C92" s="2"/>
      <c r="D92" s="2"/>
      <c r="E92" s="2"/>
      <c r="F92" s="2"/>
      <c r="G92" s="2"/>
      <c r="H92" s="2"/>
      <c r="I92" s="4" t="s">
        <v>135</v>
      </c>
      <c r="J92" s="14">
        <f>IF(STM="S",SDS,IF(AND(STM="M",STE&lt;2),SDM1,IF(AND(STM="M",STE&gt;=2),SDM2,IF(STM="H",SDH,0))))*STE</f>
        <v>0</v>
      </c>
      <c r="K92" s="14"/>
      <c r="L92" s="2" t="s">
        <v>518</v>
      </c>
      <c r="M92" s="67">
        <v>0.085</v>
      </c>
      <c r="N92" s="68">
        <v>513</v>
      </c>
      <c r="O92" s="2" t="s">
        <v>12</v>
      </c>
      <c r="P92" s="69" t="s">
        <v>724</v>
      </c>
      <c r="Q92" s="71">
        <v>0.034</v>
      </c>
      <c r="R92" s="2"/>
      <c r="S92" s="2"/>
      <c r="T92" s="2"/>
      <c r="U92" s="2"/>
      <c r="V92" s="2"/>
      <c r="W92" s="2"/>
      <c r="X92" s="2"/>
    </row>
    <row r="93" spans="1:24" ht="15.75">
      <c r="A93" s="63" t="s">
        <v>858</v>
      </c>
      <c r="B93" s="2"/>
      <c r="C93" s="2"/>
      <c r="D93" s="2"/>
      <c r="E93" s="2"/>
      <c r="F93" s="2"/>
      <c r="G93" s="2"/>
      <c r="H93" s="2"/>
      <c r="I93" s="4" t="s">
        <v>136</v>
      </c>
      <c r="J93" s="14">
        <f>IF(AND(B15="S",B16=0),T62,IF(AND(B15="S",B16=1),U62,IF(AND(B15="S",B16&gt;=2),V62,IF(AND(B15="M",B16=0),T63,IF(OR(AND(B15="M",B15="H"),B16=1),U63,IF(OR(AND(B15="M",B15="H"),B16&gt;=2),V63,0))))))</f>
        <v>0</v>
      </c>
      <c r="K93" s="14"/>
      <c r="L93" s="2" t="s">
        <v>519</v>
      </c>
      <c r="M93" s="67">
        <v>0.0875</v>
      </c>
      <c r="N93" s="68">
        <v>513</v>
      </c>
      <c r="O93" s="2" t="s">
        <v>12</v>
      </c>
      <c r="P93" s="69" t="s">
        <v>725</v>
      </c>
      <c r="Q93" s="71">
        <v>0.035</v>
      </c>
      <c r="R93" s="2"/>
      <c r="S93" s="2"/>
      <c r="T93" s="2"/>
      <c r="U93" s="2"/>
      <c r="V93" s="2"/>
      <c r="W93" s="2"/>
      <c r="X93" s="2"/>
    </row>
    <row r="94" spans="1:24" ht="15.75">
      <c r="A94" s="2" t="s">
        <v>192</v>
      </c>
      <c r="B94" s="2"/>
      <c r="C94" s="2"/>
      <c r="D94" s="2"/>
      <c r="E94" s="2"/>
      <c r="F94" s="2"/>
      <c r="G94" s="2"/>
      <c r="H94" s="2"/>
      <c r="I94" s="4" t="s">
        <v>137</v>
      </c>
      <c r="J94" s="14">
        <f>IF(STE&lt;3,0,STE-2)</f>
        <v>0</v>
      </c>
      <c r="K94" s="2"/>
      <c r="L94" s="2" t="s">
        <v>520</v>
      </c>
      <c r="M94" s="67">
        <v>0.085</v>
      </c>
      <c r="N94" s="68">
        <v>513</v>
      </c>
      <c r="O94" s="2" t="s">
        <v>12</v>
      </c>
      <c r="P94" s="69" t="s">
        <v>726</v>
      </c>
      <c r="Q94" s="71">
        <v>0.035</v>
      </c>
      <c r="R94" s="2"/>
      <c r="S94" s="2"/>
      <c r="T94" s="2"/>
      <c r="U94" s="2"/>
      <c r="V94" s="2"/>
      <c r="W94" s="2"/>
      <c r="X94" s="2"/>
    </row>
    <row r="95" spans="1:24" ht="15.75">
      <c r="A95" s="2"/>
      <c r="B95" s="2"/>
      <c r="C95" s="2"/>
      <c r="D95" s="2"/>
      <c r="E95" s="2"/>
      <c r="F95" s="2"/>
      <c r="G95" s="2"/>
      <c r="H95" s="2"/>
      <c r="I95" s="4" t="s">
        <v>138</v>
      </c>
      <c r="J95" s="14">
        <f>IF(STM="S",TCRSR,TCRMR)</f>
        <v>0</v>
      </c>
      <c r="K95" s="2"/>
      <c r="L95" s="2" t="s">
        <v>521</v>
      </c>
      <c r="M95" s="67">
        <v>0.085</v>
      </c>
      <c r="N95" s="68">
        <v>513</v>
      </c>
      <c r="O95" s="2" t="s">
        <v>12</v>
      </c>
      <c r="P95" s="69" t="s">
        <v>727</v>
      </c>
      <c r="Q95" s="71">
        <v>0.014</v>
      </c>
      <c r="R95" s="2"/>
      <c r="S95" s="2"/>
      <c r="T95" s="2"/>
      <c r="U95" s="2"/>
      <c r="V95" s="2"/>
      <c r="W95" s="2"/>
      <c r="X95" s="2"/>
    </row>
    <row r="96" spans="1:24" ht="15.75">
      <c r="A96" s="73" t="s">
        <v>859</v>
      </c>
      <c r="B96" s="2"/>
      <c r="C96" s="2"/>
      <c r="D96" s="2"/>
      <c r="E96" s="2"/>
      <c r="F96" s="2"/>
      <c r="G96" s="2"/>
      <c r="H96" s="2"/>
      <c r="I96" s="4" t="s">
        <v>139</v>
      </c>
      <c r="J96" s="14">
        <f>(TXCRB+(TXCROV2*TXCRR))</f>
        <v>0</v>
      </c>
      <c r="K96" s="14"/>
      <c r="L96" s="2" t="s">
        <v>522</v>
      </c>
      <c r="M96" s="67">
        <v>0.085</v>
      </c>
      <c r="N96" s="68">
        <v>513</v>
      </c>
      <c r="O96" s="2" t="s">
        <v>12</v>
      </c>
      <c r="P96" s="69" t="s">
        <v>728</v>
      </c>
      <c r="Q96" s="71">
        <v>0.035</v>
      </c>
      <c r="R96" s="2"/>
      <c r="S96" s="2"/>
      <c r="T96" s="2"/>
      <c r="U96" s="2"/>
      <c r="V96" s="2"/>
      <c r="W96" s="2"/>
      <c r="X96" s="2"/>
    </row>
    <row r="97" spans="1:24" ht="15.75">
      <c r="A97" s="2" t="s">
        <v>839</v>
      </c>
      <c r="B97" s="2"/>
      <c r="C97" s="2"/>
      <c r="D97" s="2"/>
      <c r="E97" s="2"/>
      <c r="F97" s="2"/>
      <c r="G97" s="2"/>
      <c r="H97" s="2"/>
      <c r="I97" s="4"/>
      <c r="J97" s="14"/>
      <c r="K97" s="14"/>
      <c r="L97" s="2" t="s">
        <v>523</v>
      </c>
      <c r="M97" s="67">
        <v>0.085</v>
      </c>
      <c r="N97" s="68">
        <v>513</v>
      </c>
      <c r="O97" s="2" t="s">
        <v>12</v>
      </c>
      <c r="P97" s="69" t="s">
        <v>729</v>
      </c>
      <c r="Q97" s="71">
        <v>0.04</v>
      </c>
      <c r="R97" s="2"/>
      <c r="S97" s="2"/>
      <c r="T97" s="2"/>
      <c r="U97" s="2"/>
      <c r="V97" s="2"/>
      <c r="W97" s="2"/>
      <c r="X97" s="2"/>
    </row>
    <row r="98" spans="1:24" ht="15.75">
      <c r="A98" s="2" t="s">
        <v>860</v>
      </c>
      <c r="B98" s="2"/>
      <c r="C98" s="2"/>
      <c r="D98" s="2"/>
      <c r="E98" s="2"/>
      <c r="F98" s="2"/>
      <c r="G98" s="2"/>
      <c r="H98" s="2"/>
      <c r="I98" s="4" t="s">
        <v>140</v>
      </c>
      <c r="J98" s="2"/>
      <c r="K98" s="14"/>
      <c r="L98" s="2" t="s">
        <v>287</v>
      </c>
      <c r="M98" s="67">
        <v>0.06</v>
      </c>
      <c r="N98" s="68">
        <v>317</v>
      </c>
      <c r="O98" s="2" t="s">
        <v>199</v>
      </c>
      <c r="P98" s="69" t="s">
        <v>730</v>
      </c>
      <c r="Q98" s="71">
        <v>0.03</v>
      </c>
      <c r="R98" s="2"/>
      <c r="S98" s="2"/>
      <c r="T98" s="2"/>
      <c r="U98" s="2"/>
      <c r="V98" s="2"/>
      <c r="W98" s="2"/>
      <c r="X98" s="2"/>
    </row>
    <row r="99" spans="1:24" ht="15.75">
      <c r="A99" s="2"/>
      <c r="B99" s="2"/>
      <c r="C99" s="2"/>
      <c r="D99" s="2"/>
      <c r="E99" s="2"/>
      <c r="F99" s="2"/>
      <c r="G99" s="2"/>
      <c r="H99" s="2"/>
      <c r="I99" s="4" t="s">
        <v>141</v>
      </c>
      <c r="J99" s="14">
        <f>IF((PAYFACT*TG1)-ADDALLOW-SDED&lt;=0,0,(PAYFACT*TG1)-ADDALLOW-SDED)</f>
        <v>91164.59999999999</v>
      </c>
      <c r="K99" s="14"/>
      <c r="L99" s="2" t="s">
        <v>288</v>
      </c>
      <c r="M99" s="67">
        <v>0.01</v>
      </c>
      <c r="N99" s="68">
        <v>317</v>
      </c>
      <c r="O99" s="2" t="s">
        <v>199</v>
      </c>
      <c r="P99" s="69" t="s">
        <v>731</v>
      </c>
      <c r="Q99" s="71">
        <v>0.035</v>
      </c>
      <c r="R99" s="2"/>
      <c r="S99" s="2"/>
      <c r="T99" s="2"/>
      <c r="U99" s="2"/>
      <c r="V99" s="2"/>
      <c r="W99" s="2"/>
      <c r="X99" s="2"/>
    </row>
    <row r="100" spans="1:24" ht="15.75">
      <c r="A100" s="63" t="s">
        <v>861</v>
      </c>
      <c r="B100" s="2"/>
      <c r="C100" s="2"/>
      <c r="D100" s="2"/>
      <c r="E100" s="2"/>
      <c r="F100" s="2"/>
      <c r="G100" s="2"/>
      <c r="H100" s="2"/>
      <c r="I100" s="4" t="s">
        <v>142</v>
      </c>
      <c r="J100" s="14">
        <f>IF((PAYFACT*TG2)-ADDALLOW-SDED&lt;=0,0,(PAYFACT*TG2)-ADDALLOW-SDED)</f>
        <v>89964.59999999999</v>
      </c>
      <c r="K100" s="14"/>
      <c r="L100" s="2" t="s">
        <v>289</v>
      </c>
      <c r="M100" s="67">
        <v>0.06</v>
      </c>
      <c r="N100" s="68">
        <v>317</v>
      </c>
      <c r="O100" s="2" t="s">
        <v>9</v>
      </c>
      <c r="P100" s="69" t="s">
        <v>732</v>
      </c>
      <c r="Q100" s="71">
        <v>0.035</v>
      </c>
      <c r="R100" s="2"/>
      <c r="S100" s="2"/>
      <c r="T100" s="2"/>
      <c r="U100" s="2"/>
      <c r="V100" s="2"/>
      <c r="W100" s="2"/>
      <c r="X100" s="2"/>
    </row>
    <row r="101" spans="1:24" ht="15.75">
      <c r="A101" s="2" t="s">
        <v>116</v>
      </c>
      <c r="B101" s="2"/>
      <c r="C101" s="2"/>
      <c r="D101" s="2"/>
      <c r="E101" s="2"/>
      <c r="F101" s="2"/>
      <c r="G101" s="2"/>
      <c r="H101" s="2"/>
      <c r="I101" s="4" t="s">
        <v>143</v>
      </c>
      <c r="J101" s="14">
        <f>IF((PAYFACT*TG3)-ADDALLOW-SDED&lt;=0,0,(PAYFACT*TG3)-ADDALLOW-SDED)</f>
        <v>88764.59999999999</v>
      </c>
      <c r="K101" s="14"/>
      <c r="L101" s="2" t="s">
        <v>211</v>
      </c>
      <c r="M101" s="67">
        <v>0.0375</v>
      </c>
      <c r="N101" s="68">
        <v>0</v>
      </c>
      <c r="O101" s="2" t="s">
        <v>9</v>
      </c>
      <c r="P101" s="69" t="s">
        <v>733</v>
      </c>
      <c r="Q101" s="71">
        <v>0.035</v>
      </c>
      <c r="R101" s="2"/>
      <c r="S101" s="2"/>
      <c r="T101" s="2"/>
      <c r="U101" s="2"/>
      <c r="V101" s="2"/>
      <c r="W101" s="2"/>
      <c r="X101" s="2"/>
    </row>
    <row r="102" spans="1:24" ht="15.75">
      <c r="A102" s="2" t="s">
        <v>550</v>
      </c>
      <c r="B102" s="2"/>
      <c r="C102" s="2"/>
      <c r="D102" s="2"/>
      <c r="E102" s="2"/>
      <c r="F102" s="2"/>
      <c r="G102" s="2"/>
      <c r="H102" s="2"/>
      <c r="I102" s="4" t="s">
        <v>144</v>
      </c>
      <c r="J102" s="14">
        <f>IF((PAYFACT*TG4)-ADDALLOW-SDED&lt;=0,0,(PAYFACT*TG4)-ADDALLOW-SDED)</f>
        <v>87564.59999999999</v>
      </c>
      <c r="K102" s="2"/>
      <c r="L102" s="2" t="s">
        <v>212</v>
      </c>
      <c r="M102" s="67">
        <v>0</v>
      </c>
      <c r="N102" s="68">
        <v>0</v>
      </c>
      <c r="O102" s="2" t="s">
        <v>199</v>
      </c>
      <c r="P102" s="69" t="s">
        <v>734</v>
      </c>
      <c r="Q102" s="71">
        <v>0.017</v>
      </c>
      <c r="R102" s="2"/>
      <c r="S102" s="2"/>
      <c r="T102" s="2"/>
      <c r="U102" s="2"/>
      <c r="V102" s="2"/>
      <c r="W102" s="2"/>
      <c r="X102" s="2"/>
    </row>
    <row r="103" spans="1:24" ht="15.75">
      <c r="A103" s="2" t="s">
        <v>551</v>
      </c>
      <c r="B103" s="2"/>
      <c r="C103" s="2"/>
      <c r="D103" s="2"/>
      <c r="E103" s="2"/>
      <c r="F103" s="2"/>
      <c r="G103" s="2"/>
      <c r="H103" s="2"/>
      <c r="I103" s="4" t="s">
        <v>145</v>
      </c>
      <c r="J103" s="14">
        <f>IF((PAYFACT*TG5)-ADDALLOW-SDED&lt;=0,0,(PAYFACT*TG5)-ADDALLOW-SDED)</f>
        <v>86364.59999999999</v>
      </c>
      <c r="K103" s="2"/>
      <c r="L103" s="2" t="s">
        <v>256</v>
      </c>
      <c r="M103" s="67">
        <v>0.06</v>
      </c>
      <c r="N103" s="68">
        <v>238</v>
      </c>
      <c r="O103" s="2" t="s">
        <v>199</v>
      </c>
      <c r="P103" s="69" t="s">
        <v>735</v>
      </c>
      <c r="Q103" s="71">
        <v>0.035</v>
      </c>
      <c r="R103" s="2"/>
      <c r="S103" s="2"/>
      <c r="T103" s="2"/>
      <c r="U103" s="2"/>
      <c r="V103" s="2"/>
      <c r="W103" s="2"/>
      <c r="X103" s="2"/>
    </row>
    <row r="104" spans="1:24" ht="15.75">
      <c r="A104" s="74" t="s">
        <v>552</v>
      </c>
      <c r="B104" s="2"/>
      <c r="C104" s="2"/>
      <c r="D104" s="2"/>
      <c r="E104" s="2"/>
      <c r="F104" s="2"/>
      <c r="G104" s="2"/>
      <c r="H104" s="2"/>
      <c r="I104" s="4" t="s">
        <v>146</v>
      </c>
      <c r="J104" s="14">
        <f>IF((PAYFACT*TG6)-ADDALLOW-SDED&lt;=0,0,(PAYFACT*TG6)-ADDALLOW-SDED)</f>
        <v>85164.59999999999</v>
      </c>
      <c r="K104" s="14"/>
      <c r="L104" s="2" t="s">
        <v>257</v>
      </c>
      <c r="M104" s="67">
        <v>0.06</v>
      </c>
      <c r="N104" s="68">
        <v>238</v>
      </c>
      <c r="O104" s="2" t="s">
        <v>9</v>
      </c>
      <c r="P104" s="69" t="s">
        <v>736</v>
      </c>
      <c r="Q104" s="71">
        <v>0.035</v>
      </c>
      <c r="R104" s="2"/>
      <c r="S104" s="2"/>
      <c r="T104" s="2"/>
      <c r="U104" s="2"/>
      <c r="V104" s="2"/>
      <c r="W104" s="2"/>
      <c r="X104" s="2"/>
    </row>
    <row r="105" spans="1:24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14"/>
      <c r="L105" s="2" t="s">
        <v>290</v>
      </c>
      <c r="M105" s="67">
        <v>0.06</v>
      </c>
      <c r="N105" s="68">
        <v>317</v>
      </c>
      <c r="O105" s="2" t="s">
        <v>9</v>
      </c>
      <c r="P105" s="69" t="s">
        <v>737</v>
      </c>
      <c r="Q105" s="71">
        <v>0.017</v>
      </c>
      <c r="R105" s="2"/>
      <c r="S105" s="2"/>
      <c r="T105" s="2"/>
      <c r="U105" s="2"/>
      <c r="V105" s="2"/>
      <c r="W105" s="2"/>
      <c r="X105" s="2"/>
    </row>
    <row r="106" spans="1:24" ht="15.75">
      <c r="A106" s="63" t="s">
        <v>862</v>
      </c>
      <c r="B106" s="2"/>
      <c r="C106" s="2"/>
      <c r="D106" s="2"/>
      <c r="E106" s="2"/>
      <c r="F106" s="2"/>
      <c r="G106" s="2"/>
      <c r="H106" s="2"/>
      <c r="I106" s="4" t="s">
        <v>147</v>
      </c>
      <c r="J106" s="2"/>
      <c r="K106" s="14"/>
      <c r="L106" s="2" t="s">
        <v>291</v>
      </c>
      <c r="M106" s="67">
        <v>0.06</v>
      </c>
      <c r="N106" s="68">
        <v>317</v>
      </c>
      <c r="O106" s="2" t="s">
        <v>199</v>
      </c>
      <c r="P106" s="69" t="s">
        <v>738</v>
      </c>
      <c r="Q106" s="71">
        <v>0.04</v>
      </c>
      <c r="R106" s="2"/>
      <c r="S106" s="2"/>
      <c r="T106" s="2"/>
      <c r="U106" s="2"/>
      <c r="V106" s="2"/>
      <c r="W106" s="2"/>
      <c r="X106" s="2"/>
    </row>
    <row r="107" spans="1:24" ht="15.75">
      <c r="A107" s="2" t="s">
        <v>863</v>
      </c>
      <c r="B107" s="2"/>
      <c r="C107" s="2"/>
      <c r="D107" s="2"/>
      <c r="E107" s="2"/>
      <c r="F107" s="2"/>
      <c r="G107" s="2"/>
      <c r="H107" s="2"/>
      <c r="I107" s="4" t="s">
        <v>148</v>
      </c>
      <c r="J107" s="14">
        <f>IF(STM="S",VLOOKUP(STG1,STXTBLS,1),IF(STM="M",VLOOKUP(STG1,STXTBLM,1),IF(STM="H",VLOOKUP(STG1,STXTBLUH,1),0)))</f>
        <v>80650</v>
      </c>
      <c r="K107" s="14"/>
      <c r="L107" s="2" t="s">
        <v>292</v>
      </c>
      <c r="M107" s="67">
        <v>0.11</v>
      </c>
      <c r="N107" s="68">
        <v>317</v>
      </c>
      <c r="O107" s="2" t="s">
        <v>9</v>
      </c>
      <c r="P107" s="69" t="s">
        <v>739</v>
      </c>
      <c r="Q107" s="71">
        <v>0.04</v>
      </c>
      <c r="R107" s="2"/>
      <c r="S107" s="2"/>
      <c r="T107" s="2"/>
      <c r="U107" s="2"/>
      <c r="V107" s="2"/>
      <c r="W107" s="2"/>
      <c r="X107" s="2"/>
    </row>
    <row r="108" spans="1:24" ht="15.75">
      <c r="A108" s="74" t="s">
        <v>840</v>
      </c>
      <c r="B108" s="2"/>
      <c r="C108" s="2"/>
      <c r="D108" s="2"/>
      <c r="E108" s="2"/>
      <c r="F108" s="2"/>
      <c r="G108" s="2"/>
      <c r="H108" s="2"/>
      <c r="I108" s="4" t="s">
        <v>149</v>
      </c>
      <c r="J108" s="14">
        <f>IF(STM="S",VLOOKUP(J100,STXTBLS,1),IF(STM="M",VLOOKUP(J100,STXTBLM,1),IF(STM="H",VLOOKUP(J100,STXTBLUH,1),0)))</f>
        <v>80650</v>
      </c>
      <c r="K108" s="14"/>
      <c r="L108" s="2" t="s">
        <v>293</v>
      </c>
      <c r="M108" s="67">
        <v>0.07</v>
      </c>
      <c r="N108" s="68">
        <v>317</v>
      </c>
      <c r="O108" s="2" t="s">
        <v>199</v>
      </c>
      <c r="P108" s="69" t="s">
        <v>740</v>
      </c>
      <c r="Q108" s="71">
        <v>0.034</v>
      </c>
      <c r="R108" s="2"/>
      <c r="S108" s="2"/>
      <c r="T108" s="2"/>
      <c r="U108" s="2"/>
      <c r="V108" s="2"/>
      <c r="W108" s="2"/>
      <c r="X108" s="2"/>
    </row>
    <row r="109" spans="1:24" ht="15.75">
      <c r="A109" s="2"/>
      <c r="B109" s="2"/>
      <c r="C109" s="2"/>
      <c r="D109" s="2"/>
      <c r="E109" s="2"/>
      <c r="F109" s="2"/>
      <c r="G109" s="2"/>
      <c r="H109" s="2"/>
      <c r="I109" s="4" t="s">
        <v>150</v>
      </c>
      <c r="J109" s="14">
        <f>IF(STM="S",VLOOKUP(J101,STXTBLS,1),IF(STM="M",VLOOKUP(J101,STXTBLM,1),IF(STM="H",VLOOKUP(J101,STXTBLUH,1),0)))</f>
        <v>80650</v>
      </c>
      <c r="K109" s="14"/>
      <c r="L109" s="2" t="s">
        <v>294</v>
      </c>
      <c r="M109" s="67">
        <v>0.11</v>
      </c>
      <c r="N109" s="68">
        <v>317</v>
      </c>
      <c r="O109" s="2" t="s">
        <v>199</v>
      </c>
      <c r="P109" s="69" t="s">
        <v>741</v>
      </c>
      <c r="Q109" s="71">
        <v>0.02</v>
      </c>
      <c r="R109" s="2"/>
      <c r="S109" s="2"/>
      <c r="T109" s="2"/>
      <c r="U109" s="2"/>
      <c r="V109" s="2"/>
      <c r="W109" s="2"/>
      <c r="X109" s="2"/>
    </row>
    <row r="110" spans="1:24" ht="15.75">
      <c r="A110" s="63" t="s">
        <v>864</v>
      </c>
      <c r="B110" s="2"/>
      <c r="C110" s="2"/>
      <c r="D110" s="2"/>
      <c r="E110" s="2"/>
      <c r="F110" s="2"/>
      <c r="G110" s="2"/>
      <c r="H110" s="2"/>
      <c r="I110" s="4" t="s">
        <v>151</v>
      </c>
      <c r="J110" s="14">
        <f>IF(STM="S",VLOOKUP(J102,STXTBLS,1),IF(STM="M",VLOOKUP(J102,STXTBLM,1),IF(STM="H",VLOOKUP(J102,STXTBLUH,1),0)))</f>
        <v>80650</v>
      </c>
      <c r="K110" s="2"/>
      <c r="L110" s="2" t="s">
        <v>295</v>
      </c>
      <c r="M110" s="67">
        <v>0.11</v>
      </c>
      <c r="N110" s="68">
        <v>317</v>
      </c>
      <c r="O110" s="2" t="s">
        <v>9</v>
      </c>
      <c r="P110" s="69" t="s">
        <v>742</v>
      </c>
      <c r="Q110" s="71">
        <v>0.021</v>
      </c>
      <c r="R110" s="2"/>
      <c r="S110" s="2"/>
      <c r="T110" s="2"/>
      <c r="U110" s="2"/>
      <c r="V110" s="2"/>
      <c r="W110" s="2"/>
      <c r="X110" s="2"/>
    </row>
    <row r="111" spans="1:24" ht="15.75">
      <c r="A111" s="2" t="s">
        <v>124</v>
      </c>
      <c r="B111" s="2"/>
      <c r="C111" s="2"/>
      <c r="D111" s="2"/>
      <c r="E111" s="2"/>
      <c r="F111" s="2"/>
      <c r="G111" s="2"/>
      <c r="H111" s="2"/>
      <c r="I111" s="4" t="s">
        <v>152</v>
      </c>
      <c r="J111" s="14">
        <f>IF(STM="S",VLOOKUP(J103,STXTBLS,1),IF(STM="M",VLOOKUP(J103,STXTBLM,1),IF(STM="H",VLOOKUP(J103,STXTBLUH,1),0)))</f>
        <v>80650</v>
      </c>
      <c r="K111" s="2"/>
      <c r="L111" s="2" t="s">
        <v>296</v>
      </c>
      <c r="M111" s="67">
        <v>0.11</v>
      </c>
      <c r="N111" s="68">
        <v>317</v>
      </c>
      <c r="O111" s="2" t="s">
        <v>9</v>
      </c>
      <c r="P111" s="69" t="s">
        <v>743</v>
      </c>
      <c r="Q111" s="71">
        <v>0.035</v>
      </c>
      <c r="R111" s="2"/>
      <c r="S111" s="2"/>
      <c r="T111" s="2"/>
      <c r="U111" s="2"/>
      <c r="V111" s="2"/>
      <c r="W111" s="2"/>
      <c r="X111" s="2"/>
    </row>
    <row r="112" spans="1:24" ht="15.75">
      <c r="A112" s="2" t="s">
        <v>538</v>
      </c>
      <c r="B112" s="2"/>
      <c r="C112" s="2"/>
      <c r="D112" s="2"/>
      <c r="E112" s="2"/>
      <c r="F112" s="2"/>
      <c r="G112" s="2"/>
      <c r="H112" s="2"/>
      <c r="I112" s="4" t="s">
        <v>153</v>
      </c>
      <c r="J112" s="14">
        <f>IF(STM="S",VLOOKUP(J104,STXTBLS,1),IF(STM="M",VLOOKUP(J104,STXTBLM,1),IF(STM="H",VLOOKUP(J104,STXTBLUH,1),0)))</f>
        <v>80650</v>
      </c>
      <c r="K112" s="2"/>
      <c r="L112" s="2" t="s">
        <v>297</v>
      </c>
      <c r="M112" s="67">
        <v>0.11</v>
      </c>
      <c r="N112" s="68">
        <v>317</v>
      </c>
      <c r="O112" s="2" t="s">
        <v>199</v>
      </c>
      <c r="P112" s="69" t="s">
        <v>744</v>
      </c>
      <c r="Q112" s="71">
        <v>0.041</v>
      </c>
      <c r="R112" s="2"/>
      <c r="S112" s="2"/>
      <c r="T112" s="2"/>
      <c r="U112" s="2"/>
      <c r="V112" s="2"/>
      <c r="W112" s="2"/>
      <c r="X112" s="2"/>
    </row>
    <row r="113" spans="1:24" ht="15.75">
      <c r="A113" s="2" t="s">
        <v>539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 t="s">
        <v>298</v>
      </c>
      <c r="M113" s="67">
        <v>0.11</v>
      </c>
      <c r="N113" s="68">
        <v>317</v>
      </c>
      <c r="O113" s="2" t="s">
        <v>9</v>
      </c>
      <c r="P113" s="69" t="s">
        <v>745</v>
      </c>
      <c r="Q113" s="71">
        <v>0.034</v>
      </c>
      <c r="R113" s="2"/>
      <c r="S113" s="2"/>
      <c r="T113" s="2"/>
      <c r="U113" s="2"/>
      <c r="V113" s="2"/>
      <c r="W113" s="2"/>
      <c r="X113" s="2"/>
    </row>
    <row r="114" spans="1:24" ht="15.75">
      <c r="A114" s="2"/>
      <c r="B114" s="2"/>
      <c r="C114" s="2"/>
      <c r="D114" s="2"/>
      <c r="E114" s="2"/>
      <c r="F114" s="2"/>
      <c r="G114" s="2"/>
      <c r="H114" s="2"/>
      <c r="I114" s="4" t="s">
        <v>154</v>
      </c>
      <c r="J114" s="2"/>
      <c r="K114" s="14"/>
      <c r="L114" s="2" t="s">
        <v>299</v>
      </c>
      <c r="M114" s="67">
        <v>0.11</v>
      </c>
      <c r="N114" s="68">
        <v>317</v>
      </c>
      <c r="O114" s="2" t="s">
        <v>199</v>
      </c>
      <c r="P114" s="69" t="s">
        <v>746</v>
      </c>
      <c r="Q114" s="71">
        <v>0.035</v>
      </c>
      <c r="R114" s="2"/>
      <c r="S114" s="2"/>
      <c r="T114" s="2"/>
      <c r="U114" s="2"/>
      <c r="V114" s="2"/>
      <c r="W114" s="2"/>
      <c r="X114" s="2"/>
    </row>
    <row r="115" spans="1:24" ht="15.75">
      <c r="A115" s="2"/>
      <c r="B115" s="2"/>
      <c r="C115" s="2"/>
      <c r="D115" s="2"/>
      <c r="E115" s="2"/>
      <c r="F115" s="2"/>
      <c r="G115" s="2"/>
      <c r="H115" s="2"/>
      <c r="I115" s="4" t="s">
        <v>155</v>
      </c>
      <c r="J115" s="75">
        <f>IF(STM="S",VLOOKUP(STG1,STXTBLS,2),IF(STM="M",VLOOKUP(STG1,STXTBLM,2),IF(STM="H",VLOOKUP(STG1,STXTBLUH,2),0)))</f>
        <v>0.06</v>
      </c>
      <c r="K115" s="14"/>
      <c r="L115" s="2" t="s">
        <v>300</v>
      </c>
      <c r="M115" s="67">
        <v>0.11</v>
      </c>
      <c r="N115" s="68">
        <v>317</v>
      </c>
      <c r="O115" s="2" t="s">
        <v>199</v>
      </c>
      <c r="P115" s="69" t="s">
        <v>747</v>
      </c>
      <c r="Q115" s="71">
        <v>0.035</v>
      </c>
      <c r="R115" s="2"/>
      <c r="S115" s="2"/>
      <c r="T115" s="2"/>
      <c r="U115" s="2"/>
      <c r="V115" s="2"/>
      <c r="W115" s="2"/>
      <c r="X115" s="2"/>
    </row>
    <row r="116" spans="1:24" ht="15.75">
      <c r="A116" s="2"/>
      <c r="B116" s="2"/>
      <c r="C116" s="2"/>
      <c r="D116" s="2"/>
      <c r="E116" s="2"/>
      <c r="F116" s="2"/>
      <c r="G116" s="2"/>
      <c r="H116" s="2"/>
      <c r="I116" s="4" t="s">
        <v>156</v>
      </c>
      <c r="J116" s="75">
        <f>IF(STM="S",VLOOKUP(J100,STXTBLS,2),IF(STM="M",VLOOKUP(J100,STXTBLM,2),IF(STM="H",VLOOKUP(J100,STXTBLUH,2),0)))</f>
        <v>0.06</v>
      </c>
      <c r="K116" s="14"/>
      <c r="L116" s="2" t="s">
        <v>301</v>
      </c>
      <c r="M116" s="67">
        <v>0.11</v>
      </c>
      <c r="N116" s="68">
        <v>317</v>
      </c>
      <c r="O116" s="2" t="s">
        <v>9</v>
      </c>
      <c r="P116" s="69" t="s">
        <v>748</v>
      </c>
      <c r="Q116" s="71">
        <v>0.014</v>
      </c>
      <c r="R116" s="2"/>
      <c r="S116" s="2"/>
      <c r="T116" s="2"/>
      <c r="U116" s="2"/>
      <c r="V116" s="2"/>
      <c r="W116" s="2"/>
      <c r="X116" s="2"/>
    </row>
    <row r="117" spans="1:24" ht="15.75">
      <c r="A117" s="2"/>
      <c r="B117" s="2"/>
      <c r="C117" s="2"/>
      <c r="D117" s="2"/>
      <c r="E117" s="2"/>
      <c r="F117" s="2"/>
      <c r="G117" s="2"/>
      <c r="H117" s="2"/>
      <c r="I117" s="4" t="s">
        <v>157</v>
      </c>
      <c r="J117" s="75">
        <f>IF(STM="S",VLOOKUP(J101,STXTBLS,2),IF(STM="M",VLOOKUP(J101,STXTBLM,2),IF(STM="H",VLOOKUP(J101,STXTBLUH,2),0)))</f>
        <v>0.06</v>
      </c>
      <c r="K117" s="14"/>
      <c r="L117" s="2" t="s">
        <v>302</v>
      </c>
      <c r="M117" s="67">
        <v>0.11</v>
      </c>
      <c r="N117" s="68">
        <v>317</v>
      </c>
      <c r="O117" s="2" t="s">
        <v>9</v>
      </c>
      <c r="P117" s="69" t="s">
        <v>749</v>
      </c>
      <c r="Q117" s="71">
        <v>0.035</v>
      </c>
      <c r="R117" s="2"/>
      <c r="S117" s="2"/>
      <c r="T117" s="2"/>
      <c r="U117" s="2"/>
      <c r="V117" s="2"/>
      <c r="W117" s="2"/>
      <c r="X117" s="2"/>
    </row>
    <row r="118" spans="1:24" ht="15.75">
      <c r="A118" s="2"/>
      <c r="B118" s="2"/>
      <c r="C118" s="2"/>
      <c r="D118" s="2"/>
      <c r="E118" s="2"/>
      <c r="F118" s="2"/>
      <c r="G118" s="2"/>
      <c r="H118" s="2"/>
      <c r="I118" s="4" t="s">
        <v>158</v>
      </c>
      <c r="J118" s="75">
        <f>IF(STM="S",VLOOKUP(J102,STXTBLS,2),IF(STM="M",VLOOKUP(J102,STXTBLM,2),IF(STM="H",VLOOKUP(J102,STXTBLUH,2),0)))</f>
        <v>0.06</v>
      </c>
      <c r="K118" s="14"/>
      <c r="L118" s="2" t="s">
        <v>303</v>
      </c>
      <c r="M118" s="67">
        <v>0.11</v>
      </c>
      <c r="N118" s="68">
        <v>317</v>
      </c>
      <c r="O118" s="2" t="s">
        <v>199</v>
      </c>
      <c r="P118" s="69" t="s">
        <v>750</v>
      </c>
      <c r="Q118" s="71">
        <v>0.04</v>
      </c>
      <c r="R118" s="2"/>
      <c r="S118" s="2"/>
      <c r="T118" s="2"/>
      <c r="U118" s="2"/>
      <c r="V118" s="2"/>
      <c r="W118" s="2"/>
      <c r="X118" s="2"/>
    </row>
    <row r="119" spans="1:24" ht="15.75">
      <c r="A119" s="2"/>
      <c r="B119" s="2"/>
      <c r="C119" s="2"/>
      <c r="D119" s="2"/>
      <c r="E119" s="2"/>
      <c r="F119" s="2"/>
      <c r="G119" s="2"/>
      <c r="H119" s="2"/>
      <c r="I119" s="4" t="s">
        <v>159</v>
      </c>
      <c r="J119" s="75">
        <f>IF(STM="S",VLOOKUP(J103,STXTBLS,2),IF(STM="M",VLOOKUP(J103,STXTBLM,2),IF(STM="H",VLOOKUP(J103,STXTBLUH,2),0)))</f>
        <v>0.06</v>
      </c>
      <c r="K119" s="14"/>
      <c r="L119" s="2" t="s">
        <v>304</v>
      </c>
      <c r="M119" s="67">
        <v>0.105</v>
      </c>
      <c r="N119" s="68">
        <v>0</v>
      </c>
      <c r="O119" s="2" t="s">
        <v>9</v>
      </c>
      <c r="P119" s="69" t="s">
        <v>751</v>
      </c>
      <c r="Q119" s="71">
        <v>0.03</v>
      </c>
      <c r="R119" s="2"/>
      <c r="S119" s="2"/>
      <c r="T119" s="2"/>
      <c r="U119" s="2"/>
      <c r="V119" s="2"/>
      <c r="W119" s="2"/>
      <c r="X119" s="2"/>
    </row>
    <row r="120" spans="1:24" ht="15.75">
      <c r="A120" s="2"/>
      <c r="B120" s="2"/>
      <c r="C120" s="2"/>
      <c r="D120" s="2"/>
      <c r="E120" s="2"/>
      <c r="F120" s="2"/>
      <c r="G120" s="2"/>
      <c r="H120" s="2"/>
      <c r="I120" s="4" t="s">
        <v>160</v>
      </c>
      <c r="J120" s="75">
        <f>IF(STM="S",VLOOKUP(J104,STXTBLS,2),IF(STM="M",VLOOKUP(J104,STXTBLM,2),IF(STM="H",VLOOKUP(J104,STXTBLUH,2),0)))</f>
        <v>0.06</v>
      </c>
      <c r="K120" s="14"/>
      <c r="L120" s="2" t="s">
        <v>305</v>
      </c>
      <c r="M120" s="67">
        <v>0.06</v>
      </c>
      <c r="N120" s="68">
        <v>317</v>
      </c>
      <c r="O120" s="2" t="s">
        <v>199</v>
      </c>
      <c r="P120" s="69" t="s">
        <v>752</v>
      </c>
      <c r="Q120" s="71">
        <v>0.035</v>
      </c>
      <c r="R120" s="2"/>
      <c r="S120" s="2"/>
      <c r="T120" s="2"/>
      <c r="U120" s="2"/>
      <c r="V120" s="2"/>
      <c r="W120" s="2"/>
      <c r="X120" s="2"/>
    </row>
    <row r="121" spans="1:24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 t="s">
        <v>306</v>
      </c>
      <c r="M121" s="67">
        <v>0.11</v>
      </c>
      <c r="N121" s="68">
        <v>317</v>
      </c>
      <c r="O121" s="2" t="s">
        <v>9</v>
      </c>
      <c r="P121" s="69" t="s">
        <v>753</v>
      </c>
      <c r="Q121" s="71">
        <v>0.035</v>
      </c>
      <c r="R121" s="2"/>
      <c r="S121" s="2"/>
      <c r="T121" s="2"/>
      <c r="U121" s="2"/>
      <c r="V121" s="2"/>
      <c r="W121" s="2"/>
      <c r="X121" s="2"/>
    </row>
    <row r="122" spans="1:24" ht="15.75">
      <c r="A122" s="2"/>
      <c r="B122" s="2"/>
      <c r="C122" s="2"/>
      <c r="D122" s="2"/>
      <c r="E122" s="2"/>
      <c r="F122" s="2"/>
      <c r="G122" s="2"/>
      <c r="H122" s="2"/>
      <c r="I122" s="4" t="s">
        <v>161</v>
      </c>
      <c r="J122" s="2"/>
      <c r="K122" s="14"/>
      <c r="L122" s="2" t="s">
        <v>307</v>
      </c>
      <c r="M122" s="67">
        <v>0.105</v>
      </c>
      <c r="N122" s="68">
        <v>317</v>
      </c>
      <c r="O122" s="2" t="s">
        <v>199</v>
      </c>
      <c r="P122" s="69" t="s">
        <v>754</v>
      </c>
      <c r="Q122" s="71">
        <v>0.024</v>
      </c>
      <c r="R122" s="2"/>
      <c r="S122" s="2"/>
      <c r="T122" s="2"/>
      <c r="U122" s="2"/>
      <c r="V122" s="2"/>
      <c r="W122" s="2"/>
      <c r="X122" s="2"/>
    </row>
    <row r="123" spans="1:24" ht="15.75">
      <c r="A123" s="2"/>
      <c r="B123" s="2"/>
      <c r="C123" s="2"/>
      <c r="D123" s="2"/>
      <c r="E123" s="2"/>
      <c r="F123" s="2"/>
      <c r="G123" s="2"/>
      <c r="H123" s="2"/>
      <c r="I123" s="4" t="s">
        <v>162</v>
      </c>
      <c r="J123" s="14">
        <f>IF(STM="S",VLOOKUP(STG1,STXTBLS,3),IF(STM="M",VLOOKUP(STG1,STXTBLM,3),IF(STM="H",VLOOKUP(STG1,STXTBLUH,3),0)))</f>
        <v>4271</v>
      </c>
      <c r="K123" s="14"/>
      <c r="L123" s="2" t="s">
        <v>308</v>
      </c>
      <c r="M123" s="67">
        <v>0.11</v>
      </c>
      <c r="N123" s="68">
        <v>317</v>
      </c>
      <c r="O123" s="2" t="s">
        <v>199</v>
      </c>
      <c r="P123" s="69" t="s">
        <v>755</v>
      </c>
      <c r="Q123" s="71">
        <v>0.024</v>
      </c>
      <c r="R123" s="2"/>
      <c r="S123" s="2"/>
      <c r="T123" s="2"/>
      <c r="U123" s="2"/>
      <c r="V123" s="2"/>
      <c r="W123" s="2"/>
      <c r="X123" s="2"/>
    </row>
    <row r="124" spans="1:24" ht="15.75">
      <c r="A124" s="2"/>
      <c r="B124" s="2"/>
      <c r="C124" s="2"/>
      <c r="D124" s="2"/>
      <c r="E124" s="2"/>
      <c r="F124" s="2"/>
      <c r="G124" s="2"/>
      <c r="H124" s="2"/>
      <c r="I124" s="4" t="s">
        <v>163</v>
      </c>
      <c r="J124" s="14">
        <f>IF(STM="S",VLOOKUP(J100,STXTBLS,3),IF(STM="M",VLOOKUP(J100,STXTBLM,3),IF(STM="H",VLOOKUP(J100,STXTBLUH,3),0)))</f>
        <v>4271</v>
      </c>
      <c r="K124" s="14"/>
      <c r="L124" s="2" t="s">
        <v>309</v>
      </c>
      <c r="M124" s="67">
        <v>0.11</v>
      </c>
      <c r="N124" s="68">
        <v>317</v>
      </c>
      <c r="O124" s="2" t="s">
        <v>9</v>
      </c>
      <c r="P124" s="69" t="s">
        <v>756</v>
      </c>
      <c r="Q124" s="71">
        <v>0.024</v>
      </c>
      <c r="R124" s="2"/>
      <c r="S124" s="2"/>
      <c r="T124" s="2"/>
      <c r="U124" s="2"/>
      <c r="V124" s="2"/>
      <c r="W124" s="2"/>
      <c r="X124" s="2"/>
    </row>
    <row r="125" spans="1:24" ht="15.75">
      <c r="A125" s="2"/>
      <c r="B125" s="2"/>
      <c r="C125" s="2"/>
      <c r="D125" s="2"/>
      <c r="E125" s="2"/>
      <c r="F125" s="2"/>
      <c r="G125" s="2"/>
      <c r="H125" s="2"/>
      <c r="I125" s="4" t="s">
        <v>164</v>
      </c>
      <c r="J125" s="14">
        <f>IF(STM="S",VLOOKUP(J101,STXTBLS,3),IF(STM="M",VLOOKUP(J101,STXTBLM,3),IF(STM="H",VLOOKUP(J101,STXTBLUH,3),0)))</f>
        <v>4271</v>
      </c>
      <c r="K125" s="14"/>
      <c r="L125" s="2" t="s">
        <v>310</v>
      </c>
      <c r="M125" s="67">
        <v>0.11</v>
      </c>
      <c r="N125" s="68">
        <v>317</v>
      </c>
      <c r="O125" s="2" t="s">
        <v>199</v>
      </c>
      <c r="P125" s="69" t="s">
        <v>757</v>
      </c>
      <c r="Q125" s="71">
        <v>0.024</v>
      </c>
      <c r="R125" s="2"/>
      <c r="S125" s="2"/>
      <c r="T125" s="2"/>
      <c r="U125" s="2"/>
      <c r="V125" s="2"/>
      <c r="W125" s="2"/>
      <c r="X125" s="2"/>
    </row>
    <row r="126" spans="1:24" ht="15.75">
      <c r="A126" s="2"/>
      <c r="B126" s="2"/>
      <c r="C126" s="2"/>
      <c r="D126" s="2"/>
      <c r="E126" s="2"/>
      <c r="F126" s="2"/>
      <c r="G126" s="2"/>
      <c r="H126" s="2"/>
      <c r="I126" s="4" t="s">
        <v>165</v>
      </c>
      <c r="J126" s="14">
        <f>IF(STM="S",VLOOKUP(J102,STXTBLS,3),IF(STM="M",VLOOKUP(J102,STXTBLM,3),IF(STM="H",VLOOKUP(J102,STXTBLUH,3),0)))</f>
        <v>4271</v>
      </c>
      <c r="K126" s="14"/>
      <c r="L126" s="2" t="s">
        <v>311</v>
      </c>
      <c r="M126" s="67">
        <v>0.06</v>
      </c>
      <c r="N126" s="68">
        <v>317</v>
      </c>
      <c r="O126" s="2" t="s">
        <v>9</v>
      </c>
      <c r="P126" s="69" t="s">
        <v>758</v>
      </c>
      <c r="Q126" s="71">
        <v>0.024</v>
      </c>
      <c r="R126" s="2"/>
      <c r="S126" s="2"/>
      <c r="T126" s="2"/>
      <c r="U126" s="2"/>
      <c r="V126" s="2"/>
      <c r="W126" s="2"/>
      <c r="X126" s="2"/>
    </row>
    <row r="127" spans="1:24" ht="15.75">
      <c r="A127" s="2"/>
      <c r="B127" s="2"/>
      <c r="C127" s="2"/>
      <c r="D127" s="2"/>
      <c r="E127" s="2"/>
      <c r="F127" s="2"/>
      <c r="G127" s="2"/>
      <c r="H127" s="2"/>
      <c r="I127" s="4" t="s">
        <v>166</v>
      </c>
      <c r="J127" s="14">
        <f>IF(STM="S",VLOOKUP(J103,STXTBLS,3),IF(STM="M",VLOOKUP(J103,STXTBLM,3),IF(STM="H",VLOOKUP(J103,STXTBLUH,3),0)))</f>
        <v>4271</v>
      </c>
      <c r="K127" s="14"/>
      <c r="L127" s="2" t="s">
        <v>312</v>
      </c>
      <c r="M127" s="67">
        <v>0.11</v>
      </c>
      <c r="N127" s="68">
        <v>317</v>
      </c>
      <c r="O127" s="2" t="s">
        <v>9</v>
      </c>
      <c r="P127" s="69" t="s">
        <v>759</v>
      </c>
      <c r="Q127" s="71">
        <v>0.024</v>
      </c>
      <c r="R127" s="2"/>
      <c r="S127" s="2"/>
      <c r="T127" s="2"/>
      <c r="U127" s="2"/>
      <c r="V127" s="2"/>
      <c r="W127" s="2"/>
      <c r="X127" s="2"/>
    </row>
    <row r="128" spans="1:24" ht="15.75">
      <c r="A128" s="2"/>
      <c r="B128" s="2"/>
      <c r="C128" s="2"/>
      <c r="D128" s="2"/>
      <c r="E128" s="2"/>
      <c r="F128" s="2"/>
      <c r="G128" s="2"/>
      <c r="H128" s="2"/>
      <c r="I128" s="4" t="s">
        <v>167</v>
      </c>
      <c r="J128" s="14">
        <f>IF(STM="S",VLOOKUP(J104,STXTBLS,3),IF(STM="M",VLOOKUP(J104,STXTBLM,3),IF(STM="H",VLOOKUP(J104,STXTBLUH,3),0)))</f>
        <v>4271</v>
      </c>
      <c r="K128" s="2"/>
      <c r="L128" s="2" t="s">
        <v>313</v>
      </c>
      <c r="M128" s="67">
        <v>0.11</v>
      </c>
      <c r="N128" s="68">
        <v>317</v>
      </c>
      <c r="O128" s="2" t="s">
        <v>199</v>
      </c>
      <c r="P128" s="69" t="s">
        <v>760</v>
      </c>
      <c r="Q128" s="71">
        <v>0.024</v>
      </c>
      <c r="R128" s="2"/>
      <c r="S128" s="2"/>
      <c r="T128" s="2"/>
      <c r="U128" s="2"/>
      <c r="V128" s="2"/>
      <c r="W128" s="2"/>
      <c r="X128" s="2"/>
    </row>
    <row r="129" spans="1:24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 t="s">
        <v>314</v>
      </c>
      <c r="M129" s="67">
        <v>0.11</v>
      </c>
      <c r="N129" s="68">
        <v>317</v>
      </c>
      <c r="O129" s="2" t="s">
        <v>9</v>
      </c>
      <c r="P129" s="69" t="s">
        <v>761</v>
      </c>
      <c r="Q129" s="71">
        <v>0.024</v>
      </c>
      <c r="R129" s="2"/>
      <c r="S129" s="2"/>
      <c r="T129" s="2"/>
      <c r="U129" s="2"/>
      <c r="V129" s="2"/>
      <c r="W129" s="2"/>
      <c r="X129" s="2"/>
    </row>
    <row r="130" spans="1:24" ht="15.75">
      <c r="A130" s="2"/>
      <c r="B130" s="2"/>
      <c r="C130" s="2"/>
      <c r="D130" s="2"/>
      <c r="E130" s="2"/>
      <c r="F130" s="2"/>
      <c r="G130" s="2"/>
      <c r="H130" s="2"/>
      <c r="I130" s="4" t="s">
        <v>168</v>
      </c>
      <c r="J130" s="2"/>
      <c r="K130" s="14"/>
      <c r="L130" s="2" t="s">
        <v>315</v>
      </c>
      <c r="M130" s="67">
        <v>0.135</v>
      </c>
      <c r="N130" s="68">
        <v>317</v>
      </c>
      <c r="O130" s="2" t="s">
        <v>199</v>
      </c>
      <c r="P130" s="69" t="s">
        <v>762</v>
      </c>
      <c r="Q130" s="71">
        <v>0.024</v>
      </c>
      <c r="R130" s="2"/>
      <c r="S130" s="2"/>
      <c r="T130" s="2"/>
      <c r="U130" s="2"/>
      <c r="V130" s="2"/>
      <c r="W130" s="2"/>
      <c r="X130" s="2"/>
    </row>
    <row r="131" spans="1:24" ht="15.75">
      <c r="A131" s="2"/>
      <c r="B131" s="2"/>
      <c r="C131" s="2"/>
      <c r="D131" s="2"/>
      <c r="E131" s="2"/>
      <c r="F131" s="2"/>
      <c r="G131" s="2"/>
      <c r="H131" s="2"/>
      <c r="I131" s="4" t="s">
        <v>169</v>
      </c>
      <c r="J131" s="14">
        <f>(STG1-SBSA1)</f>
        <v>10514.599999999991</v>
      </c>
      <c r="K131" s="14"/>
      <c r="L131" s="2" t="s">
        <v>316</v>
      </c>
      <c r="M131" s="67">
        <v>0.135</v>
      </c>
      <c r="N131" s="68">
        <v>317</v>
      </c>
      <c r="O131" s="2" t="s">
        <v>9</v>
      </c>
      <c r="P131" s="69" t="s">
        <v>763</v>
      </c>
      <c r="Q131" s="71">
        <v>0.023</v>
      </c>
      <c r="R131" s="2"/>
      <c r="S131" s="2"/>
      <c r="T131" s="2"/>
      <c r="U131" s="2"/>
      <c r="V131" s="2"/>
      <c r="W131" s="2"/>
      <c r="X131" s="2"/>
    </row>
    <row r="132" spans="1:24" ht="15.75">
      <c r="A132" s="2"/>
      <c r="B132" s="2"/>
      <c r="C132" s="2"/>
      <c r="D132" s="2"/>
      <c r="E132" s="2"/>
      <c r="F132" s="2"/>
      <c r="G132" s="2"/>
      <c r="H132" s="2"/>
      <c r="I132" s="4" t="s">
        <v>170</v>
      </c>
      <c r="J132" s="14">
        <f>(J100-J108)</f>
        <v>9314.599999999991</v>
      </c>
      <c r="K132" s="14"/>
      <c r="L132" s="2" t="s">
        <v>317</v>
      </c>
      <c r="M132" s="67">
        <v>0.1</v>
      </c>
      <c r="N132" s="68">
        <v>317</v>
      </c>
      <c r="O132" s="2" t="s">
        <v>9</v>
      </c>
      <c r="P132" s="69" t="s">
        <v>764</v>
      </c>
      <c r="Q132" s="71">
        <v>0.023</v>
      </c>
      <c r="R132" s="2"/>
      <c r="S132" s="2"/>
      <c r="T132" s="2"/>
      <c r="U132" s="2"/>
      <c r="V132" s="2"/>
      <c r="W132" s="2"/>
      <c r="X132" s="2"/>
    </row>
    <row r="133" spans="1:24" ht="15.75">
      <c r="A133" s="2"/>
      <c r="B133" s="2"/>
      <c r="C133" s="2"/>
      <c r="D133" s="2"/>
      <c r="E133" s="2"/>
      <c r="F133" s="2"/>
      <c r="G133" s="2"/>
      <c r="H133" s="2"/>
      <c r="I133" s="4" t="s">
        <v>171</v>
      </c>
      <c r="J133" s="14">
        <f>(J101-J109)</f>
        <v>8114.599999999991</v>
      </c>
      <c r="K133" s="14"/>
      <c r="L133" s="2" t="s">
        <v>213</v>
      </c>
      <c r="M133" s="67">
        <v>0</v>
      </c>
      <c r="N133" s="68">
        <v>0</v>
      </c>
      <c r="O133" s="2" t="s">
        <v>9</v>
      </c>
      <c r="P133" s="69" t="s">
        <v>765</v>
      </c>
      <c r="Q133" s="71">
        <v>0.024</v>
      </c>
      <c r="R133" s="2"/>
      <c r="S133" s="2"/>
      <c r="T133" s="2"/>
      <c r="U133" s="2"/>
      <c r="V133" s="2"/>
      <c r="W133" s="2"/>
      <c r="X133" s="2"/>
    </row>
    <row r="134" spans="1:24" ht="15.75">
      <c r="A134" s="2"/>
      <c r="B134" s="2"/>
      <c r="C134" s="2"/>
      <c r="D134" s="2"/>
      <c r="E134" s="2"/>
      <c r="F134" s="2"/>
      <c r="G134" s="2"/>
      <c r="H134" s="2"/>
      <c r="I134" s="4" t="s">
        <v>172</v>
      </c>
      <c r="J134" s="14">
        <f>(J102-J110)</f>
        <v>6914.599999999991</v>
      </c>
      <c r="K134" s="14"/>
      <c r="L134" s="2" t="s">
        <v>214</v>
      </c>
      <c r="M134" s="67">
        <v>0</v>
      </c>
      <c r="N134" s="68">
        <v>0</v>
      </c>
      <c r="O134" s="2" t="s">
        <v>9</v>
      </c>
      <c r="P134" s="69" t="s">
        <v>766</v>
      </c>
      <c r="Q134" s="71">
        <v>0.024</v>
      </c>
      <c r="R134" s="2"/>
      <c r="S134" s="2"/>
      <c r="T134" s="2"/>
      <c r="U134" s="2"/>
      <c r="V134" s="2"/>
      <c r="W134" s="2"/>
      <c r="X134" s="2"/>
    </row>
    <row r="135" spans="1:24" ht="15.75">
      <c r="A135" s="2"/>
      <c r="B135" s="2"/>
      <c r="C135" s="2"/>
      <c r="D135" s="2"/>
      <c r="E135" s="2"/>
      <c r="F135" s="2"/>
      <c r="G135" s="2"/>
      <c r="H135" s="2"/>
      <c r="I135" s="4" t="s">
        <v>173</v>
      </c>
      <c r="J135" s="14">
        <f>(J103-J111)</f>
        <v>5714.599999999991</v>
      </c>
      <c r="K135" s="14"/>
      <c r="L135" s="2" t="s">
        <v>318</v>
      </c>
      <c r="M135" s="67">
        <v>0.06</v>
      </c>
      <c r="N135" s="68">
        <v>317</v>
      </c>
      <c r="O135" s="2" t="s">
        <v>9</v>
      </c>
      <c r="P135" s="69" t="s">
        <v>767</v>
      </c>
      <c r="Q135" s="71">
        <v>0.024</v>
      </c>
      <c r="R135" s="2"/>
      <c r="S135" s="2"/>
      <c r="T135" s="2"/>
      <c r="U135" s="2"/>
      <c r="V135" s="2"/>
      <c r="W135" s="2"/>
      <c r="X135" s="2"/>
    </row>
    <row r="136" spans="1:24" ht="15.75">
      <c r="A136" s="2"/>
      <c r="B136" s="2"/>
      <c r="C136" s="2"/>
      <c r="D136" s="2"/>
      <c r="E136" s="2"/>
      <c r="F136" s="2"/>
      <c r="G136" s="2"/>
      <c r="H136" s="2"/>
      <c r="I136" s="4" t="s">
        <v>174</v>
      </c>
      <c r="J136" s="14">
        <f>(J104-J112)</f>
        <v>4514.599999999991</v>
      </c>
      <c r="K136" s="2"/>
      <c r="L136" s="2" t="s">
        <v>367</v>
      </c>
      <c r="M136" s="67">
        <v>0.08</v>
      </c>
      <c r="N136" s="68">
        <v>513</v>
      </c>
      <c r="O136" s="2" t="s">
        <v>12</v>
      </c>
      <c r="P136" s="69" t="s">
        <v>768</v>
      </c>
      <c r="Q136" s="71">
        <v>0.035</v>
      </c>
      <c r="R136" s="2"/>
      <c r="S136" s="2"/>
      <c r="T136" s="2"/>
      <c r="U136" s="2"/>
      <c r="V136" s="2"/>
      <c r="W136" s="2"/>
      <c r="X136" s="2"/>
    </row>
    <row r="137" spans="1:24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 t="s">
        <v>368</v>
      </c>
      <c r="M137" s="67">
        <v>0.125</v>
      </c>
      <c r="N137" s="68">
        <v>513</v>
      </c>
      <c r="O137" s="2" t="s">
        <v>12</v>
      </c>
      <c r="P137" s="69" t="s">
        <v>769</v>
      </c>
      <c r="Q137" s="71">
        <v>0.017</v>
      </c>
      <c r="R137" s="2"/>
      <c r="S137" s="2"/>
      <c r="T137" s="2"/>
      <c r="U137" s="2"/>
      <c r="V137" s="2"/>
      <c r="W137" s="2"/>
      <c r="X137" s="2"/>
    </row>
    <row r="138" spans="1:24" ht="15.75">
      <c r="A138" s="2"/>
      <c r="B138" s="2"/>
      <c r="C138" s="2"/>
      <c r="D138" s="2"/>
      <c r="E138" s="2"/>
      <c r="F138" s="2"/>
      <c r="G138" s="2"/>
      <c r="H138" s="2"/>
      <c r="I138" s="4" t="s">
        <v>175</v>
      </c>
      <c r="J138" s="2"/>
      <c r="K138" s="14"/>
      <c r="L138" s="2" t="s">
        <v>369</v>
      </c>
      <c r="M138" s="67">
        <v>0.08</v>
      </c>
      <c r="N138" s="68">
        <v>513</v>
      </c>
      <c r="O138" s="2" t="s">
        <v>12</v>
      </c>
      <c r="P138" s="69" t="s">
        <v>770</v>
      </c>
      <c r="Q138" s="71">
        <v>0.035</v>
      </c>
      <c r="R138" s="2"/>
      <c r="S138" s="2"/>
      <c r="T138" s="2"/>
      <c r="U138" s="2"/>
      <c r="V138" s="2"/>
      <c r="W138" s="2"/>
      <c r="X138" s="2"/>
    </row>
    <row r="139" spans="1:24" ht="15.75">
      <c r="A139" s="2"/>
      <c r="B139" s="2"/>
      <c r="C139" s="2"/>
      <c r="D139" s="2"/>
      <c r="E139" s="2"/>
      <c r="F139" s="2"/>
      <c r="G139" s="2"/>
      <c r="H139" s="2"/>
      <c r="I139" s="4" t="s">
        <v>176</v>
      </c>
      <c r="J139" s="14">
        <f>(SBST1+ROUND(SOVR1*SMTR1,5))</f>
        <v>4901.876</v>
      </c>
      <c r="K139" s="14"/>
      <c r="L139" s="2" t="s">
        <v>319</v>
      </c>
      <c r="M139" s="67">
        <v>0.11</v>
      </c>
      <c r="N139" s="68">
        <v>317</v>
      </c>
      <c r="O139" s="2" t="s">
        <v>199</v>
      </c>
      <c r="P139" s="69" t="s">
        <v>771</v>
      </c>
      <c r="Q139" s="71">
        <v>0.035</v>
      </c>
      <c r="R139" s="2"/>
      <c r="S139" s="2"/>
      <c r="T139" s="2"/>
      <c r="U139" s="2"/>
      <c r="V139" s="2"/>
      <c r="W139" s="2"/>
      <c r="X139" s="2"/>
    </row>
    <row r="140" spans="1:24" ht="15.75">
      <c r="A140" s="2"/>
      <c r="B140" s="2"/>
      <c r="C140" s="2"/>
      <c r="D140" s="2"/>
      <c r="E140" s="2"/>
      <c r="F140" s="2"/>
      <c r="G140" s="2"/>
      <c r="H140" s="2"/>
      <c r="I140" s="4" t="s">
        <v>177</v>
      </c>
      <c r="J140" s="14">
        <f>(J124+ROUND(J132*SMTR2,5))</f>
        <v>4829.876</v>
      </c>
      <c r="K140" s="14"/>
      <c r="L140" s="2" t="s">
        <v>320</v>
      </c>
      <c r="M140" s="67">
        <v>0.11</v>
      </c>
      <c r="N140" s="68">
        <v>317</v>
      </c>
      <c r="O140" s="2" t="s">
        <v>9</v>
      </c>
      <c r="P140" s="69" t="s">
        <v>772</v>
      </c>
      <c r="Q140" s="71">
        <v>0.017</v>
      </c>
      <c r="R140" s="2"/>
      <c r="S140" s="2"/>
      <c r="T140" s="2"/>
      <c r="U140" s="2"/>
      <c r="V140" s="2"/>
      <c r="W140" s="2"/>
      <c r="X140" s="2"/>
    </row>
    <row r="141" spans="1:24" ht="15.75">
      <c r="A141" s="2"/>
      <c r="B141" s="2"/>
      <c r="C141" s="2"/>
      <c r="D141" s="2"/>
      <c r="E141" s="2"/>
      <c r="F141" s="2"/>
      <c r="G141" s="2"/>
      <c r="H141" s="2"/>
      <c r="I141" s="4" t="s">
        <v>178</v>
      </c>
      <c r="J141" s="14">
        <f>(J125+ROUND(J133*SMTR3,5))</f>
        <v>4757.876</v>
      </c>
      <c r="K141" s="14"/>
      <c r="L141" s="2" t="s">
        <v>370</v>
      </c>
      <c r="M141" s="67">
        <v>0.1</v>
      </c>
      <c r="N141" s="68">
        <v>513</v>
      </c>
      <c r="O141" s="2" t="s">
        <v>12</v>
      </c>
      <c r="P141" s="69" t="s">
        <v>773</v>
      </c>
      <c r="Q141" s="71">
        <v>0.04</v>
      </c>
      <c r="R141" s="2"/>
      <c r="S141" s="2"/>
      <c r="T141" s="2"/>
      <c r="U141" s="2"/>
      <c r="V141" s="2"/>
      <c r="W141" s="2"/>
      <c r="X141" s="2"/>
    </row>
    <row r="142" spans="1:24" ht="15.75">
      <c r="A142" s="2"/>
      <c r="B142" s="2"/>
      <c r="C142" s="2"/>
      <c r="D142" s="2"/>
      <c r="E142" s="2"/>
      <c r="F142" s="2"/>
      <c r="G142" s="2"/>
      <c r="H142" s="2"/>
      <c r="I142" s="4" t="s">
        <v>179</v>
      </c>
      <c r="J142" s="14">
        <f>(J126+ROUND(J134*SMTR4,5))</f>
        <v>4685.876</v>
      </c>
      <c r="K142" s="14"/>
      <c r="L142" s="2" t="s">
        <v>371</v>
      </c>
      <c r="M142" s="67">
        <v>0.1</v>
      </c>
      <c r="N142" s="68">
        <v>513</v>
      </c>
      <c r="O142" s="2" t="s">
        <v>12</v>
      </c>
      <c r="P142" s="69" t="s">
        <v>774</v>
      </c>
      <c r="Q142" s="71">
        <v>0.04</v>
      </c>
      <c r="R142" s="2"/>
      <c r="S142" s="2"/>
      <c r="T142" s="2"/>
      <c r="U142" s="2"/>
      <c r="V142" s="2"/>
      <c r="W142" s="2"/>
      <c r="X142" s="2"/>
    </row>
    <row r="143" spans="1:24" ht="15.75">
      <c r="A143" s="2"/>
      <c r="B143" s="2"/>
      <c r="C143" s="2"/>
      <c r="D143" s="2"/>
      <c r="E143" s="2"/>
      <c r="F143" s="2"/>
      <c r="G143" s="2"/>
      <c r="H143" s="2"/>
      <c r="I143" s="4" t="s">
        <v>180</v>
      </c>
      <c r="J143" s="14">
        <f>(J127+ROUND(J135*SMTR5,5))</f>
        <v>4613.876</v>
      </c>
      <c r="K143" s="14"/>
      <c r="L143" s="2" t="s">
        <v>372</v>
      </c>
      <c r="M143" s="67">
        <v>0.1</v>
      </c>
      <c r="N143" s="68">
        <v>513</v>
      </c>
      <c r="O143" s="2" t="s">
        <v>12</v>
      </c>
      <c r="P143" s="69" t="s">
        <v>775</v>
      </c>
      <c r="Q143" s="71">
        <v>0.034</v>
      </c>
      <c r="R143" s="2"/>
      <c r="S143" s="2"/>
      <c r="T143" s="2"/>
      <c r="U143" s="2"/>
      <c r="V143" s="2"/>
      <c r="W143" s="2"/>
      <c r="X143" s="2"/>
    </row>
    <row r="144" spans="1:24" ht="15.75">
      <c r="A144" s="2"/>
      <c r="B144" s="2"/>
      <c r="C144" s="2"/>
      <c r="D144" s="2"/>
      <c r="E144" s="2"/>
      <c r="F144" s="2"/>
      <c r="G144" s="2"/>
      <c r="H144" s="2"/>
      <c r="I144" s="4" t="s">
        <v>181</v>
      </c>
      <c r="J144" s="14">
        <f>(J128+ROUND(J136*SMTR6,5))</f>
        <v>4541.876</v>
      </c>
      <c r="K144" s="2"/>
      <c r="L144" s="2" t="s">
        <v>373</v>
      </c>
      <c r="M144" s="67">
        <v>0.1</v>
      </c>
      <c r="N144" s="68">
        <v>513</v>
      </c>
      <c r="O144" s="2" t="s">
        <v>12</v>
      </c>
      <c r="P144" s="69" t="s">
        <v>776</v>
      </c>
      <c r="Q144" s="71">
        <v>0.02</v>
      </c>
      <c r="R144" s="2"/>
      <c r="S144" s="2"/>
      <c r="T144" s="2"/>
      <c r="U144" s="2"/>
      <c r="V144" s="2"/>
      <c r="W144" s="2"/>
      <c r="X144" s="2"/>
    </row>
    <row r="145" spans="1:24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 t="s">
        <v>374</v>
      </c>
      <c r="M145" s="67">
        <v>0.1</v>
      </c>
      <c r="N145" s="68">
        <v>513</v>
      </c>
      <c r="O145" s="2" t="s">
        <v>12</v>
      </c>
      <c r="P145" s="69" t="s">
        <v>777</v>
      </c>
      <c r="Q145" s="71">
        <v>0.021</v>
      </c>
      <c r="R145" s="2"/>
      <c r="S145" s="2"/>
      <c r="T145" s="2"/>
      <c r="U145" s="2"/>
      <c r="V145" s="2"/>
      <c r="W145" s="2"/>
      <c r="X145" s="2"/>
    </row>
    <row r="146" spans="1:24" ht="15.75">
      <c r="A146" s="2"/>
      <c r="B146" s="2"/>
      <c r="C146" s="2"/>
      <c r="D146" s="2"/>
      <c r="E146" s="2"/>
      <c r="F146" s="2"/>
      <c r="G146" s="2"/>
      <c r="H146" s="2"/>
      <c r="I146" s="4" t="s">
        <v>182</v>
      </c>
      <c r="J146" s="2"/>
      <c r="K146" s="14"/>
      <c r="L146" s="2" t="s">
        <v>375</v>
      </c>
      <c r="M146" s="67">
        <v>0.1</v>
      </c>
      <c r="N146" s="68">
        <v>513</v>
      </c>
      <c r="O146" s="2" t="s">
        <v>12</v>
      </c>
      <c r="P146" s="69" t="s">
        <v>778</v>
      </c>
      <c r="Q146" s="71">
        <v>0.035</v>
      </c>
      <c r="R146" s="2"/>
      <c r="S146" s="2"/>
      <c r="T146" s="2"/>
      <c r="U146" s="2"/>
      <c r="V146" s="2"/>
      <c r="W146" s="2"/>
      <c r="X146" s="2"/>
    </row>
    <row r="147" spans="1:24" ht="15.75">
      <c r="A147" s="2"/>
      <c r="B147" s="2"/>
      <c r="C147" s="2"/>
      <c r="D147" s="2"/>
      <c r="E147" s="2"/>
      <c r="F147" s="2"/>
      <c r="G147" s="2"/>
      <c r="H147" s="2"/>
      <c r="I147" s="4" t="s">
        <v>183</v>
      </c>
      <c r="J147" s="14">
        <f>IF(STA1-TXCREDIT/PAYFACT&gt;0,ROUND((STA1-TXCREDIT)/PAYFACT,2),(0))</f>
        <v>408.49</v>
      </c>
      <c r="K147" s="14"/>
      <c r="L147" s="2" t="s">
        <v>376</v>
      </c>
      <c r="M147" s="67">
        <v>0.08</v>
      </c>
      <c r="N147" s="68">
        <v>513</v>
      </c>
      <c r="O147" s="2" t="s">
        <v>12</v>
      </c>
      <c r="P147" s="69" t="s">
        <v>779</v>
      </c>
      <c r="Q147" s="71">
        <v>0.041</v>
      </c>
      <c r="R147" s="2"/>
      <c r="S147" s="2"/>
      <c r="T147" s="2"/>
      <c r="U147" s="2"/>
      <c r="V147" s="2"/>
      <c r="W147" s="2"/>
      <c r="X147" s="2"/>
    </row>
    <row r="148" spans="1:24" ht="15.75">
      <c r="A148" s="2"/>
      <c r="B148" s="2"/>
      <c r="C148" s="2"/>
      <c r="D148" s="2"/>
      <c r="E148" s="2"/>
      <c r="F148" s="2"/>
      <c r="G148" s="2"/>
      <c r="H148" s="2"/>
      <c r="I148" s="4" t="s">
        <v>184</v>
      </c>
      <c r="J148" s="14">
        <f>IF(OR(TG2*PAYFACT&lt;=LIE,(J140-TXCREDIT)/PAYFACT&lt;=0),0,IF(J140-TXCREDIT/PAYFACT&gt;0,ROUND((J140-TXCREDIT)/PAYFACT,2)))</f>
        <v>402.49</v>
      </c>
      <c r="K148" s="14"/>
      <c r="L148" s="2" t="s">
        <v>377</v>
      </c>
      <c r="M148" s="67">
        <v>0.1</v>
      </c>
      <c r="N148" s="68">
        <v>513</v>
      </c>
      <c r="O148" s="2" t="s">
        <v>12</v>
      </c>
      <c r="P148" s="69" t="s">
        <v>780</v>
      </c>
      <c r="Q148" s="71">
        <v>0.034</v>
      </c>
      <c r="R148" s="2"/>
      <c r="S148" s="2"/>
      <c r="T148" s="2"/>
      <c r="U148" s="2"/>
      <c r="V148" s="2"/>
      <c r="W148" s="2"/>
      <c r="X148" s="2"/>
    </row>
    <row r="149" spans="1:24" ht="15.75">
      <c r="A149" s="2"/>
      <c r="B149" s="2"/>
      <c r="C149" s="2"/>
      <c r="D149" s="2"/>
      <c r="E149" s="2"/>
      <c r="F149" s="2"/>
      <c r="G149" s="2"/>
      <c r="H149" s="2"/>
      <c r="I149" s="4" t="s">
        <v>185</v>
      </c>
      <c r="J149" s="14">
        <f>IF(OR(TG3*PAYFACT&lt;=LIE,(J141-TXCREDIT)/PAYFACT&lt;=0),0,IF(J141-TXCREDIT/PAYFACT&gt;0,ROUND((J141-TXCREDIT)/PAYFACT,2)))</f>
        <v>396.49</v>
      </c>
      <c r="K149" s="14"/>
      <c r="L149" s="2" t="s">
        <v>321</v>
      </c>
      <c r="M149" s="67">
        <v>0.09</v>
      </c>
      <c r="N149" s="68">
        <v>317</v>
      </c>
      <c r="O149" s="2" t="s">
        <v>199</v>
      </c>
      <c r="P149" s="69" t="s">
        <v>781</v>
      </c>
      <c r="Q149" s="71">
        <v>0.035</v>
      </c>
      <c r="R149" s="2"/>
      <c r="S149" s="2"/>
      <c r="T149" s="2"/>
      <c r="U149" s="2"/>
      <c r="V149" s="2"/>
      <c r="W149" s="2"/>
      <c r="X149" s="2"/>
    </row>
    <row r="150" spans="1:24" ht="15.75">
      <c r="A150" s="2"/>
      <c r="B150" s="2"/>
      <c r="C150" s="2"/>
      <c r="D150" s="2"/>
      <c r="E150" s="2"/>
      <c r="F150" s="2"/>
      <c r="G150" s="2"/>
      <c r="H150" s="2"/>
      <c r="I150" s="4" t="s">
        <v>186</v>
      </c>
      <c r="J150" s="14">
        <f>IF(OR(TG4*PAYFACT&lt;=LIE,(J142-TXCREDIT)/PAYFACT&lt;=0),0,IF(J142-TXCREDIT/PAYFACT&gt;0,ROUND((J142-TXCREDIT)/PAYFACT,2)))</f>
        <v>390.49</v>
      </c>
      <c r="K150" s="14"/>
      <c r="L150" s="2" t="s">
        <v>378</v>
      </c>
      <c r="M150" s="67">
        <v>0.1</v>
      </c>
      <c r="N150" s="68">
        <v>513</v>
      </c>
      <c r="O150" s="2" t="s">
        <v>12</v>
      </c>
      <c r="P150" s="69" t="s">
        <v>782</v>
      </c>
      <c r="Q150" s="71">
        <v>0.035</v>
      </c>
      <c r="R150" s="2"/>
      <c r="S150" s="2"/>
      <c r="T150" s="2"/>
      <c r="U150" s="2"/>
      <c r="V150" s="2"/>
      <c r="W150" s="2"/>
      <c r="X150" s="2"/>
    </row>
    <row r="151" spans="1:24" ht="15.75">
      <c r="A151" s="2"/>
      <c r="B151" s="2"/>
      <c r="C151" s="2"/>
      <c r="D151" s="2"/>
      <c r="E151" s="2"/>
      <c r="F151" s="2"/>
      <c r="G151" s="2"/>
      <c r="H151" s="2"/>
      <c r="I151" s="4" t="s">
        <v>187</v>
      </c>
      <c r="J151" s="14">
        <f>IF(OR(TG5*PAYFACT&lt;=LIE,(J143-TXCREDIT)/PAYFACT&lt;=0),0,IF(J143-TXCREDIT/PAYFACT&gt;0,ROUND((J143-TXCREDIT)/PAYFACT,2)))</f>
        <v>384.49</v>
      </c>
      <c r="K151" s="14"/>
      <c r="L151" s="2" t="s">
        <v>379</v>
      </c>
      <c r="M151" s="67">
        <v>0.08</v>
      </c>
      <c r="N151" s="68">
        <v>513</v>
      </c>
      <c r="O151" s="2" t="s">
        <v>12</v>
      </c>
      <c r="P151" s="69" t="s">
        <v>783</v>
      </c>
      <c r="Q151" s="71">
        <v>0.014</v>
      </c>
      <c r="R151" s="2"/>
      <c r="S151" s="2"/>
      <c r="T151" s="2"/>
      <c r="U151" s="2"/>
      <c r="V151" s="2"/>
      <c r="W151" s="2"/>
      <c r="X151" s="2"/>
    </row>
    <row r="152" spans="1:24" ht="15.75">
      <c r="A152" s="2"/>
      <c r="B152" s="2"/>
      <c r="C152" s="2"/>
      <c r="D152" s="2"/>
      <c r="E152" s="2"/>
      <c r="F152" s="2"/>
      <c r="G152" s="2"/>
      <c r="H152" s="2"/>
      <c r="I152" s="4" t="s">
        <v>188</v>
      </c>
      <c r="J152" s="14">
        <f>IF(OR(TG6*PAYFACT&lt;=LIE,(J144-TXCREDIT)/PAYFACT&lt;=0),0,IF(J144-TXCREDIT/PAYFACT&gt;0,ROUND((J144-TXCREDIT)/PAYFACT,2)))</f>
        <v>378.49</v>
      </c>
      <c r="K152" s="2"/>
      <c r="L152" s="2" t="s">
        <v>380</v>
      </c>
      <c r="M152" s="67">
        <v>0.08</v>
      </c>
      <c r="N152" s="68">
        <v>0</v>
      </c>
      <c r="O152" s="2" t="s">
        <v>12</v>
      </c>
      <c r="P152" s="69" t="s">
        <v>784</v>
      </c>
      <c r="Q152" s="71">
        <v>0.035</v>
      </c>
      <c r="R152" s="2"/>
      <c r="S152" s="2"/>
      <c r="T152" s="2"/>
      <c r="U152" s="2"/>
      <c r="V152" s="2"/>
      <c r="W152" s="2"/>
      <c r="X152" s="2"/>
    </row>
    <row r="153" spans="1:24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 t="s">
        <v>381</v>
      </c>
      <c r="M153" s="67">
        <v>0.125</v>
      </c>
      <c r="N153" s="68">
        <v>513</v>
      </c>
      <c r="O153" s="2" t="s">
        <v>12</v>
      </c>
      <c r="P153" s="69" t="s">
        <v>785</v>
      </c>
      <c r="Q153" s="71">
        <v>0.04</v>
      </c>
      <c r="R153" s="2"/>
      <c r="S153" s="2"/>
      <c r="T153" s="2"/>
      <c r="U153" s="2"/>
      <c r="V153" s="2"/>
      <c r="W153" s="2"/>
      <c r="X153" s="2"/>
    </row>
    <row r="154" spans="1:24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14"/>
      <c r="L154" s="2" t="s">
        <v>382</v>
      </c>
      <c r="M154" s="67">
        <v>0.08</v>
      </c>
      <c r="N154" s="68">
        <v>513</v>
      </c>
      <c r="O154" s="2" t="s">
        <v>12</v>
      </c>
      <c r="P154" s="69" t="s">
        <v>786</v>
      </c>
      <c r="Q154" s="71">
        <v>0.03</v>
      </c>
      <c r="R154" s="2"/>
      <c r="S154" s="2"/>
      <c r="T154" s="2"/>
      <c r="U154" s="2"/>
      <c r="V154" s="2"/>
      <c r="W154" s="2"/>
      <c r="X154" s="2"/>
    </row>
    <row r="155" spans="1:24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14"/>
      <c r="L155" s="2" t="s">
        <v>322</v>
      </c>
      <c r="M155" s="67">
        <v>0.1</v>
      </c>
      <c r="N155" s="68">
        <v>317</v>
      </c>
      <c r="O155" s="2" t="s">
        <v>199</v>
      </c>
      <c r="P155" s="69" t="s">
        <v>787</v>
      </c>
      <c r="Q155" s="71">
        <v>0.035</v>
      </c>
      <c r="R155" s="2"/>
      <c r="S155" s="2"/>
      <c r="T155" s="2"/>
      <c r="U155" s="2"/>
      <c r="V155" s="2"/>
      <c r="W155" s="2"/>
      <c r="X155" s="2"/>
    </row>
    <row r="156" spans="1:24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14"/>
      <c r="L156" s="2" t="s">
        <v>383</v>
      </c>
      <c r="M156" s="67">
        <v>0.08</v>
      </c>
      <c r="N156" s="68">
        <v>513</v>
      </c>
      <c r="O156" s="2" t="s">
        <v>12</v>
      </c>
      <c r="P156" s="69" t="s">
        <v>788</v>
      </c>
      <c r="Q156" s="71">
        <v>0.035</v>
      </c>
      <c r="R156" s="2"/>
      <c r="S156" s="2"/>
      <c r="T156" s="2"/>
      <c r="U156" s="2"/>
      <c r="V156" s="2"/>
      <c r="W156" s="2"/>
      <c r="X156" s="2"/>
    </row>
    <row r="157" spans="1:24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14"/>
      <c r="L157" s="2" t="s">
        <v>323</v>
      </c>
      <c r="M157" s="67">
        <v>0.09</v>
      </c>
      <c r="N157" s="68">
        <v>317</v>
      </c>
      <c r="O157" s="2" t="s">
        <v>199</v>
      </c>
      <c r="P157" s="69" t="s">
        <v>789</v>
      </c>
      <c r="Q157" s="71">
        <v>0</v>
      </c>
      <c r="R157" s="2"/>
      <c r="S157" s="2"/>
      <c r="T157" s="2"/>
      <c r="U157" s="2"/>
      <c r="V157" s="2"/>
      <c r="W157" s="2"/>
      <c r="X157" s="2"/>
    </row>
    <row r="158" spans="1:24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14"/>
      <c r="L158" s="2" t="s">
        <v>324</v>
      </c>
      <c r="M158" s="67">
        <v>0.09</v>
      </c>
      <c r="N158" s="68">
        <v>317</v>
      </c>
      <c r="O158" s="2" t="s">
        <v>9</v>
      </c>
      <c r="P158" s="69" t="s">
        <v>790</v>
      </c>
      <c r="Q158" s="71">
        <v>0.035</v>
      </c>
      <c r="R158" s="2"/>
      <c r="S158" s="2"/>
      <c r="T158" s="2"/>
      <c r="U158" s="2"/>
      <c r="V158" s="2"/>
      <c r="W158" s="2"/>
      <c r="X158" s="2"/>
    </row>
    <row r="159" spans="1:24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14"/>
      <c r="L159" s="2" t="s">
        <v>325</v>
      </c>
      <c r="M159" s="67">
        <v>0.06</v>
      </c>
      <c r="N159" s="68">
        <v>317</v>
      </c>
      <c r="O159" s="2" t="s">
        <v>199</v>
      </c>
      <c r="P159" s="69" t="s">
        <v>791</v>
      </c>
      <c r="Q159" s="71">
        <v>0.017</v>
      </c>
      <c r="R159" s="2"/>
      <c r="S159" s="2"/>
      <c r="T159" s="2"/>
      <c r="U159" s="2"/>
      <c r="V159" s="2"/>
      <c r="W159" s="2"/>
      <c r="X159" s="2"/>
    </row>
    <row r="160" spans="1:24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 t="s">
        <v>326</v>
      </c>
      <c r="M160" s="67">
        <v>0.09</v>
      </c>
      <c r="N160" s="68">
        <v>317</v>
      </c>
      <c r="O160" s="2" t="s">
        <v>9</v>
      </c>
      <c r="P160" s="69" t="s">
        <v>792</v>
      </c>
      <c r="Q160" s="71">
        <v>0.035</v>
      </c>
      <c r="R160" s="2"/>
      <c r="S160" s="2"/>
      <c r="T160" s="2"/>
      <c r="U160" s="2"/>
      <c r="V160" s="2"/>
      <c r="W160" s="2"/>
      <c r="X160" s="2"/>
    </row>
    <row r="161" spans="1:24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 t="s">
        <v>384</v>
      </c>
      <c r="M161" s="67">
        <v>0.09</v>
      </c>
      <c r="N161" s="68">
        <v>513</v>
      </c>
      <c r="O161" s="2" t="s">
        <v>12</v>
      </c>
      <c r="P161" s="69" t="s">
        <v>793</v>
      </c>
      <c r="Q161" s="71">
        <v>0.035</v>
      </c>
      <c r="R161" s="2"/>
      <c r="S161" s="2"/>
      <c r="T161" s="2"/>
      <c r="U161" s="2"/>
      <c r="V161" s="2"/>
      <c r="W161" s="2"/>
      <c r="X161" s="2"/>
    </row>
    <row r="162" spans="1:24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14"/>
      <c r="L162" s="2" t="s">
        <v>385</v>
      </c>
      <c r="M162" s="67">
        <v>0.08</v>
      </c>
      <c r="N162" s="68">
        <v>513</v>
      </c>
      <c r="O162" s="2" t="s">
        <v>12</v>
      </c>
      <c r="P162" s="69" t="s">
        <v>794</v>
      </c>
      <c r="Q162" s="71">
        <v>0.017</v>
      </c>
      <c r="R162" s="2"/>
      <c r="S162" s="2"/>
      <c r="T162" s="2"/>
      <c r="U162" s="2"/>
      <c r="V162" s="2"/>
      <c r="W162" s="2"/>
      <c r="X162" s="2"/>
    </row>
    <row r="163" spans="1:24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14"/>
      <c r="L163" s="2" t="s">
        <v>386</v>
      </c>
      <c r="M163" s="67">
        <v>0.08</v>
      </c>
      <c r="N163" s="68">
        <v>513</v>
      </c>
      <c r="O163" s="2" t="s">
        <v>12</v>
      </c>
      <c r="P163" s="69" t="s">
        <v>795</v>
      </c>
      <c r="Q163" s="71">
        <v>0.04</v>
      </c>
      <c r="R163" s="2"/>
      <c r="S163" s="2"/>
      <c r="T163" s="2"/>
      <c r="U163" s="2"/>
      <c r="V163" s="2"/>
      <c r="W163" s="2"/>
      <c r="X163" s="2"/>
    </row>
    <row r="164" spans="1:24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14"/>
      <c r="L164" s="2" t="s">
        <v>387</v>
      </c>
      <c r="M164" s="67">
        <v>0.05</v>
      </c>
      <c r="N164" s="68">
        <v>513</v>
      </c>
      <c r="O164" s="2" t="s">
        <v>12</v>
      </c>
      <c r="P164" s="69" t="s">
        <v>796</v>
      </c>
      <c r="Q164" s="71">
        <v>0.04</v>
      </c>
      <c r="R164" s="2"/>
      <c r="S164" s="2"/>
      <c r="T164" s="2"/>
      <c r="U164" s="2"/>
      <c r="V164" s="2"/>
      <c r="W164" s="2"/>
      <c r="X164" s="2"/>
    </row>
    <row r="165" spans="1:24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14"/>
      <c r="L165" s="2" t="s">
        <v>327</v>
      </c>
      <c r="M165" s="67">
        <v>0.105</v>
      </c>
      <c r="N165" s="68">
        <v>317</v>
      </c>
      <c r="O165" s="2" t="s">
        <v>199</v>
      </c>
      <c r="P165" s="69" t="s">
        <v>797</v>
      </c>
      <c r="Q165" s="71">
        <v>0.034</v>
      </c>
      <c r="R165" s="2"/>
      <c r="S165" s="2"/>
      <c r="T165" s="2"/>
      <c r="U165" s="2"/>
      <c r="V165" s="2"/>
      <c r="W165" s="2"/>
      <c r="X165" s="2"/>
    </row>
    <row r="166" spans="1:24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14"/>
      <c r="L166" s="2" t="s">
        <v>258</v>
      </c>
      <c r="M166" s="67">
        <v>0.08</v>
      </c>
      <c r="N166" s="68">
        <v>238</v>
      </c>
      <c r="O166" s="2" t="s">
        <v>199</v>
      </c>
      <c r="P166" s="69" t="s">
        <v>798</v>
      </c>
      <c r="Q166" s="71">
        <v>0.02</v>
      </c>
      <c r="R166" s="2"/>
      <c r="S166" s="2"/>
      <c r="T166" s="2"/>
      <c r="U166" s="2"/>
      <c r="V166" s="2"/>
      <c r="W166" s="2"/>
      <c r="X166" s="2"/>
    </row>
    <row r="167" spans="1:24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14"/>
      <c r="L167" s="2" t="s">
        <v>259</v>
      </c>
      <c r="M167" s="67">
        <v>0.08</v>
      </c>
      <c r="N167" s="68">
        <v>238</v>
      </c>
      <c r="O167" s="2" t="s">
        <v>9</v>
      </c>
      <c r="P167" s="69" t="s">
        <v>799</v>
      </c>
      <c r="Q167" s="71">
        <v>0.021</v>
      </c>
      <c r="R167" s="2"/>
      <c r="S167" s="2"/>
      <c r="T167" s="2"/>
      <c r="U167" s="2"/>
      <c r="V167" s="2"/>
      <c r="W167" s="2"/>
      <c r="X167" s="2"/>
    </row>
    <row r="168" spans="1:24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 t="s">
        <v>328</v>
      </c>
      <c r="M168" s="67">
        <v>0.01</v>
      </c>
      <c r="N168" s="68">
        <v>317</v>
      </c>
      <c r="O168" s="2" t="s">
        <v>9</v>
      </c>
      <c r="P168" s="69" t="s">
        <v>800</v>
      </c>
      <c r="Q168" s="71">
        <v>0.035</v>
      </c>
      <c r="R168" s="2"/>
      <c r="S168" s="2"/>
      <c r="T168" s="2"/>
      <c r="U168" s="2"/>
      <c r="V168" s="2"/>
      <c r="W168" s="2"/>
      <c r="X168" s="2"/>
    </row>
    <row r="169" spans="1:24" ht="15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 t="s">
        <v>260</v>
      </c>
      <c r="M169" s="67">
        <v>0.06</v>
      </c>
      <c r="N169" s="68">
        <v>238</v>
      </c>
      <c r="O169" s="2" t="s">
        <v>199</v>
      </c>
      <c r="P169" s="69" t="s">
        <v>801</v>
      </c>
      <c r="Q169" s="71">
        <v>0.041</v>
      </c>
      <c r="R169" s="2"/>
      <c r="S169" s="2"/>
      <c r="T169" s="2"/>
      <c r="U169" s="2"/>
      <c r="V169" s="2"/>
      <c r="W169" s="2"/>
      <c r="X169" s="2"/>
    </row>
    <row r="170" spans="1:24" ht="15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14"/>
      <c r="L170" s="2" t="s">
        <v>261</v>
      </c>
      <c r="M170" s="67">
        <v>0.115</v>
      </c>
      <c r="N170" s="68">
        <v>513</v>
      </c>
      <c r="O170" s="2" t="s">
        <v>9</v>
      </c>
      <c r="P170" s="69" t="s">
        <v>802</v>
      </c>
      <c r="Q170" s="71">
        <v>0.034</v>
      </c>
      <c r="R170" s="2"/>
      <c r="S170" s="2"/>
      <c r="T170" s="2"/>
      <c r="U170" s="2"/>
      <c r="V170" s="2"/>
      <c r="W170" s="2"/>
      <c r="X170" s="2"/>
    </row>
    <row r="171" spans="1:24" ht="15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14"/>
      <c r="L171" s="2" t="s">
        <v>473</v>
      </c>
      <c r="M171" s="67">
        <v>0.08</v>
      </c>
      <c r="N171" s="68">
        <v>863</v>
      </c>
      <c r="O171" s="2" t="s">
        <v>199</v>
      </c>
      <c r="P171" s="69" t="s">
        <v>803</v>
      </c>
      <c r="Q171" s="71">
        <v>0.035</v>
      </c>
      <c r="R171" s="2"/>
      <c r="S171" s="2"/>
      <c r="T171" s="2"/>
      <c r="U171" s="2"/>
      <c r="V171" s="2"/>
      <c r="W171" s="2"/>
      <c r="X171" s="2"/>
    </row>
    <row r="172" spans="1:24" ht="15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14"/>
      <c r="L172" s="2" t="s">
        <v>262</v>
      </c>
      <c r="M172" s="67">
        <v>0.08</v>
      </c>
      <c r="N172" s="68">
        <v>238</v>
      </c>
      <c r="O172" s="2" t="s">
        <v>199</v>
      </c>
      <c r="P172" s="69" t="s">
        <v>804</v>
      </c>
      <c r="Q172" s="71">
        <v>0.035</v>
      </c>
      <c r="R172" s="2"/>
      <c r="S172" s="2"/>
      <c r="T172" s="2"/>
      <c r="U172" s="2"/>
      <c r="V172" s="2"/>
      <c r="W172" s="2"/>
      <c r="X172" s="2"/>
    </row>
    <row r="173" spans="1:24" ht="15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14"/>
      <c r="L173" s="2" t="s">
        <v>263</v>
      </c>
      <c r="M173" s="67">
        <v>0.13</v>
      </c>
      <c r="N173" s="68">
        <v>863</v>
      </c>
      <c r="O173" s="2" t="s">
        <v>199</v>
      </c>
      <c r="P173" s="69" t="s">
        <v>805</v>
      </c>
      <c r="Q173" s="71">
        <v>0.014</v>
      </c>
      <c r="R173" s="2"/>
      <c r="S173" s="2"/>
      <c r="T173" s="2"/>
      <c r="U173" s="2"/>
      <c r="V173" s="2"/>
      <c r="W173" s="2"/>
      <c r="X173" s="2"/>
    </row>
    <row r="174" spans="1:24" ht="15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14"/>
      <c r="L174" s="2" t="s">
        <v>264</v>
      </c>
      <c r="M174" s="67">
        <v>0.13</v>
      </c>
      <c r="N174" s="68">
        <v>863</v>
      </c>
      <c r="O174" s="2" t="s">
        <v>9</v>
      </c>
      <c r="P174" s="69" t="s">
        <v>806</v>
      </c>
      <c r="Q174" s="71">
        <v>0.035</v>
      </c>
      <c r="R174" s="2"/>
      <c r="S174" s="2"/>
      <c r="T174" s="2"/>
      <c r="U174" s="2"/>
      <c r="V174" s="2"/>
      <c r="W174" s="2"/>
      <c r="X174" s="2"/>
    </row>
    <row r="175" spans="1:24" ht="15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14"/>
      <c r="L175" s="2" t="s">
        <v>474</v>
      </c>
      <c r="M175" s="67">
        <v>0.13</v>
      </c>
      <c r="N175" s="68">
        <v>863</v>
      </c>
      <c r="O175" s="2" t="s">
        <v>199</v>
      </c>
      <c r="P175" s="69" t="s">
        <v>807</v>
      </c>
      <c r="Q175" s="71">
        <v>0.04</v>
      </c>
      <c r="R175" s="2"/>
      <c r="S175" s="2"/>
      <c r="T175" s="2"/>
      <c r="U175" s="2"/>
      <c r="V175" s="2"/>
      <c r="W175" s="2"/>
      <c r="X175" s="2"/>
    </row>
    <row r="176" spans="1:24" ht="15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 t="s">
        <v>475</v>
      </c>
      <c r="M176" s="67">
        <v>0.13</v>
      </c>
      <c r="N176" s="68">
        <v>863</v>
      </c>
      <c r="O176" s="2" t="s">
        <v>9</v>
      </c>
      <c r="P176" s="69" t="s">
        <v>808</v>
      </c>
      <c r="Q176" s="71">
        <v>0.03</v>
      </c>
      <c r="R176" s="2"/>
      <c r="S176" s="2"/>
      <c r="T176" s="2"/>
      <c r="U176" s="2"/>
      <c r="V176" s="2"/>
      <c r="W176" s="2"/>
      <c r="X176" s="2"/>
    </row>
    <row r="177" spans="1:24" ht="15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 t="s">
        <v>265</v>
      </c>
      <c r="M177" s="67">
        <v>0.13</v>
      </c>
      <c r="N177" s="68">
        <v>863</v>
      </c>
      <c r="O177" s="2" t="s">
        <v>199</v>
      </c>
      <c r="P177" s="69" t="s">
        <v>809</v>
      </c>
      <c r="Q177" s="71">
        <v>0.035</v>
      </c>
      <c r="R177" s="2"/>
      <c r="S177" s="2"/>
      <c r="T177" s="2"/>
      <c r="U177" s="2"/>
      <c r="V177" s="2"/>
      <c r="W177" s="2"/>
      <c r="X177" s="2"/>
    </row>
    <row r="178" spans="1:24" ht="15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 t="s">
        <v>266</v>
      </c>
      <c r="M178" s="67">
        <v>0.13</v>
      </c>
      <c r="N178" s="68">
        <v>863</v>
      </c>
      <c r="O178" s="2" t="s">
        <v>9</v>
      </c>
      <c r="P178" s="69" t="s">
        <v>810</v>
      </c>
      <c r="Q178" s="71">
        <v>0.035</v>
      </c>
      <c r="R178" s="2"/>
      <c r="S178" s="2"/>
      <c r="T178" s="2"/>
      <c r="U178" s="2"/>
      <c r="V178" s="2"/>
      <c r="W178" s="2"/>
      <c r="X178" s="2"/>
    </row>
    <row r="179" spans="1:24" ht="15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 t="s">
        <v>267</v>
      </c>
      <c r="M179" s="67">
        <v>0.1325</v>
      </c>
      <c r="N179" s="68">
        <v>0</v>
      </c>
      <c r="O179" s="2" t="s">
        <v>199</v>
      </c>
      <c r="P179" s="69" t="s">
        <v>811</v>
      </c>
      <c r="Q179" s="71">
        <v>0.035</v>
      </c>
      <c r="R179" s="2"/>
      <c r="S179" s="2"/>
      <c r="T179" s="2"/>
      <c r="U179" s="2"/>
      <c r="V179" s="2"/>
      <c r="W179" s="2"/>
      <c r="X179" s="2"/>
    </row>
    <row r="180" spans="1:24" ht="15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 t="s">
        <v>268</v>
      </c>
      <c r="M180" s="67">
        <v>0.1325</v>
      </c>
      <c r="N180" s="68">
        <v>0</v>
      </c>
      <c r="O180" s="2" t="s">
        <v>9</v>
      </c>
      <c r="P180" s="69" t="s">
        <v>812</v>
      </c>
      <c r="Q180" s="71">
        <v>0.017</v>
      </c>
      <c r="R180" s="2"/>
      <c r="S180" s="2"/>
      <c r="T180" s="2"/>
      <c r="U180" s="2"/>
      <c r="V180" s="2"/>
      <c r="W180" s="2"/>
      <c r="X180" s="2"/>
    </row>
    <row r="181" spans="1:24" ht="15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 t="s">
        <v>388</v>
      </c>
      <c r="M181" s="67">
        <v>0.08</v>
      </c>
      <c r="N181" s="68">
        <v>513</v>
      </c>
      <c r="O181" s="2" t="s">
        <v>199</v>
      </c>
      <c r="P181" s="69" t="s">
        <v>813</v>
      </c>
      <c r="Q181" s="71">
        <v>0.035</v>
      </c>
      <c r="R181" s="2"/>
      <c r="S181" s="2"/>
      <c r="T181" s="2"/>
      <c r="U181" s="2"/>
      <c r="V181" s="2"/>
      <c r="W181" s="2"/>
      <c r="X181" s="2"/>
    </row>
    <row r="182" spans="1:24" ht="15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 t="s">
        <v>389</v>
      </c>
      <c r="M182" s="67">
        <v>0.08</v>
      </c>
      <c r="N182" s="68">
        <v>513</v>
      </c>
      <c r="O182" s="2" t="s">
        <v>9</v>
      </c>
      <c r="P182" s="69" t="s">
        <v>814</v>
      </c>
      <c r="Q182" s="71">
        <v>0.035</v>
      </c>
      <c r="R182" s="2"/>
      <c r="S182" s="2"/>
      <c r="T182" s="2"/>
      <c r="U182" s="2"/>
      <c r="V182" s="2"/>
      <c r="W182" s="2"/>
      <c r="X182" s="2"/>
    </row>
    <row r="183" spans="1:24" ht="15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 t="s">
        <v>476</v>
      </c>
      <c r="M183" s="67">
        <v>0.11</v>
      </c>
      <c r="N183" s="68">
        <v>863</v>
      </c>
      <c r="O183" s="2" t="s">
        <v>199</v>
      </c>
      <c r="P183" s="69" t="s">
        <v>815</v>
      </c>
      <c r="Q183" s="71">
        <v>0.017</v>
      </c>
      <c r="R183" s="2"/>
      <c r="S183" s="2"/>
      <c r="T183" s="2"/>
      <c r="U183" s="2"/>
      <c r="V183" s="2"/>
      <c r="W183" s="2"/>
      <c r="X183" s="2"/>
    </row>
    <row r="184" spans="1:24" ht="15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 t="s">
        <v>477</v>
      </c>
      <c r="M184" s="67">
        <v>0.13</v>
      </c>
      <c r="N184" s="68">
        <v>863</v>
      </c>
      <c r="O184" s="2" t="s">
        <v>9</v>
      </c>
      <c r="P184" s="69" t="s">
        <v>816</v>
      </c>
      <c r="Q184" s="71">
        <v>0.04</v>
      </c>
      <c r="R184" s="2"/>
      <c r="S184" s="2"/>
      <c r="T184" s="2"/>
      <c r="U184" s="2"/>
      <c r="V184" s="2"/>
      <c r="W184" s="2"/>
      <c r="X184" s="2"/>
    </row>
    <row r="185" spans="1:24" ht="15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 t="s">
        <v>269</v>
      </c>
      <c r="M185" s="67">
        <v>0.08</v>
      </c>
      <c r="N185" s="68">
        <v>238</v>
      </c>
      <c r="O185" s="2" t="s">
        <v>199</v>
      </c>
      <c r="P185" s="69" t="s">
        <v>817</v>
      </c>
      <c r="Q185" s="71">
        <v>0.04</v>
      </c>
      <c r="R185" s="2"/>
      <c r="S185" s="2"/>
      <c r="T185" s="2"/>
      <c r="U185" s="2"/>
      <c r="V185" s="2"/>
      <c r="W185" s="2"/>
      <c r="X185" s="2"/>
    </row>
    <row r="186" spans="1:24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 t="s">
        <v>270</v>
      </c>
      <c r="M186" s="67">
        <v>0.08</v>
      </c>
      <c r="N186" s="68">
        <v>238</v>
      </c>
      <c r="O186" s="2" t="s">
        <v>9</v>
      </c>
      <c r="P186" s="69" t="s">
        <v>818</v>
      </c>
      <c r="Q186" s="71">
        <v>0.034</v>
      </c>
      <c r="R186" s="2"/>
      <c r="S186" s="2"/>
      <c r="T186" s="2"/>
      <c r="U186" s="2"/>
      <c r="V186" s="2"/>
      <c r="W186" s="2"/>
      <c r="X186" s="2"/>
    </row>
    <row r="187" spans="1:24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 t="s">
        <v>271</v>
      </c>
      <c r="M187" s="67">
        <v>0.08</v>
      </c>
      <c r="N187" s="68">
        <v>238</v>
      </c>
      <c r="O187" s="2" t="s">
        <v>199</v>
      </c>
      <c r="P187" s="69" t="s">
        <v>819</v>
      </c>
      <c r="Q187" s="71">
        <v>0.02</v>
      </c>
      <c r="R187" s="2"/>
      <c r="S187" s="2"/>
      <c r="T187" s="2"/>
      <c r="U187" s="2"/>
      <c r="V187" s="2"/>
      <c r="W187" s="2"/>
      <c r="X187" s="2"/>
    </row>
    <row r="188" spans="1:24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 t="s">
        <v>272</v>
      </c>
      <c r="M188" s="67">
        <v>0.08</v>
      </c>
      <c r="N188" s="68">
        <v>238</v>
      </c>
      <c r="O188" s="2" t="s">
        <v>9</v>
      </c>
      <c r="P188" s="69" t="s">
        <v>820</v>
      </c>
      <c r="Q188" s="71">
        <v>0.021</v>
      </c>
      <c r="R188" s="2"/>
      <c r="S188" s="2"/>
      <c r="T188" s="2"/>
      <c r="U188" s="2"/>
      <c r="V188" s="2"/>
      <c r="W188" s="2"/>
      <c r="X188" s="2"/>
    </row>
    <row r="189" spans="1:24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 t="s">
        <v>478</v>
      </c>
      <c r="M189" s="67">
        <v>0.125</v>
      </c>
      <c r="N189" s="68">
        <v>863</v>
      </c>
      <c r="O189" s="2" t="s">
        <v>199</v>
      </c>
      <c r="P189" s="69" t="s">
        <v>821</v>
      </c>
      <c r="Q189" s="71">
        <v>0.035</v>
      </c>
      <c r="R189" s="2"/>
      <c r="S189" s="2"/>
      <c r="T189" s="2"/>
      <c r="U189" s="2"/>
      <c r="V189" s="2"/>
      <c r="W189" s="2"/>
      <c r="X189" s="2"/>
    </row>
    <row r="190" spans="1:24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 t="s">
        <v>479</v>
      </c>
      <c r="M190" s="67">
        <v>0.13</v>
      </c>
      <c r="N190" s="68">
        <v>863</v>
      </c>
      <c r="O190" s="2" t="s">
        <v>9</v>
      </c>
      <c r="P190" s="69" t="s">
        <v>822</v>
      </c>
      <c r="Q190" s="71">
        <v>0.041</v>
      </c>
      <c r="R190" s="2"/>
      <c r="S190" s="2"/>
      <c r="T190" s="2"/>
      <c r="U190" s="2"/>
      <c r="V190" s="2"/>
      <c r="W190" s="2"/>
      <c r="X190" s="2"/>
    </row>
    <row r="191" spans="1:24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 t="s">
        <v>480</v>
      </c>
      <c r="M191" s="67">
        <v>0.125</v>
      </c>
      <c r="N191" s="68">
        <v>863</v>
      </c>
      <c r="O191" s="2" t="s">
        <v>199</v>
      </c>
      <c r="P191" s="69" t="s">
        <v>823</v>
      </c>
      <c r="Q191" s="71">
        <v>0.034</v>
      </c>
      <c r="R191" s="2"/>
      <c r="S191" s="2"/>
      <c r="T191" s="2"/>
      <c r="U191" s="2"/>
      <c r="V191" s="2"/>
      <c r="W191" s="2"/>
      <c r="X191" s="2"/>
    </row>
    <row r="192" spans="1:24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 t="s">
        <v>481</v>
      </c>
      <c r="M192" s="67">
        <v>0.125</v>
      </c>
      <c r="N192" s="68">
        <v>863</v>
      </c>
      <c r="O192" s="2" t="s">
        <v>9</v>
      </c>
      <c r="P192" s="69" t="s">
        <v>824</v>
      </c>
      <c r="Q192" s="71">
        <v>0.035</v>
      </c>
      <c r="R192" s="2"/>
      <c r="S192" s="2"/>
      <c r="T192" s="2"/>
      <c r="U192" s="2"/>
      <c r="V192" s="2"/>
      <c r="W192" s="2"/>
      <c r="X192" s="2"/>
    </row>
    <row r="193" spans="1:24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 t="s">
        <v>273</v>
      </c>
      <c r="M193" s="67">
        <v>0.1325</v>
      </c>
      <c r="N193" s="68">
        <v>0</v>
      </c>
      <c r="O193" s="2" t="s">
        <v>199</v>
      </c>
      <c r="P193" s="69" t="s">
        <v>825</v>
      </c>
      <c r="Q193" s="71">
        <v>0.035</v>
      </c>
      <c r="R193" s="2"/>
      <c r="S193" s="2"/>
      <c r="T193" s="2"/>
      <c r="U193" s="2"/>
      <c r="V193" s="2"/>
      <c r="W193" s="2"/>
      <c r="X193" s="2"/>
    </row>
    <row r="194" spans="1:24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 t="s">
        <v>390</v>
      </c>
      <c r="M194" s="67">
        <v>0.1</v>
      </c>
      <c r="N194" s="68">
        <v>513</v>
      </c>
      <c r="O194" s="2" t="s">
        <v>199</v>
      </c>
      <c r="P194" s="69" t="s">
        <v>826</v>
      </c>
      <c r="Q194" s="71">
        <v>0.014</v>
      </c>
      <c r="R194" s="2"/>
      <c r="S194" s="2"/>
      <c r="T194" s="2"/>
      <c r="U194" s="2"/>
      <c r="V194" s="2"/>
      <c r="W194" s="2"/>
      <c r="X194" s="2"/>
    </row>
    <row r="195" spans="1:24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 t="s">
        <v>391</v>
      </c>
      <c r="M195" s="67">
        <v>0.13</v>
      </c>
      <c r="N195" s="68">
        <v>513</v>
      </c>
      <c r="O195" s="2" t="s">
        <v>9</v>
      </c>
      <c r="P195" s="69" t="s">
        <v>827</v>
      </c>
      <c r="Q195" s="71">
        <v>0.035</v>
      </c>
      <c r="R195" s="2"/>
      <c r="S195" s="2"/>
      <c r="T195" s="2"/>
      <c r="U195" s="2"/>
      <c r="V195" s="2"/>
      <c r="W195" s="2"/>
      <c r="X195" s="2"/>
    </row>
    <row r="196" spans="1:24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 t="s">
        <v>274</v>
      </c>
      <c r="M196" s="67">
        <v>0.1325</v>
      </c>
      <c r="N196" s="68">
        <v>0</v>
      </c>
      <c r="O196" s="2" t="s">
        <v>9</v>
      </c>
      <c r="P196" s="69" t="s">
        <v>828</v>
      </c>
      <c r="Q196" s="71">
        <v>0.04</v>
      </c>
      <c r="R196" s="2"/>
      <c r="S196" s="2"/>
      <c r="T196" s="2"/>
      <c r="U196" s="2"/>
      <c r="V196" s="2"/>
      <c r="W196" s="2"/>
      <c r="X196" s="2"/>
    </row>
    <row r="197" spans="1:24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 t="s">
        <v>329</v>
      </c>
      <c r="M197" s="67">
        <v>0.105</v>
      </c>
      <c r="N197" s="68">
        <v>317</v>
      </c>
      <c r="O197" s="2" t="s">
        <v>199</v>
      </c>
      <c r="P197" s="69" t="s">
        <v>829</v>
      </c>
      <c r="Q197" s="71">
        <v>0.03</v>
      </c>
      <c r="R197" s="2"/>
      <c r="S197" s="2"/>
      <c r="T197" s="2"/>
      <c r="U197" s="2"/>
      <c r="V197" s="2"/>
      <c r="W197" s="2"/>
      <c r="X197" s="2"/>
    </row>
    <row r="198" spans="1:24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 t="s">
        <v>215</v>
      </c>
      <c r="M198" s="67">
        <v>0.0375</v>
      </c>
      <c r="N198" s="68">
        <v>0</v>
      </c>
      <c r="O198" s="2" t="s">
        <v>12</v>
      </c>
      <c r="P198" s="69" t="s">
        <v>830</v>
      </c>
      <c r="Q198" s="71">
        <v>0.035</v>
      </c>
      <c r="R198" s="2"/>
      <c r="S198" s="2"/>
      <c r="T198" s="2"/>
      <c r="U198" s="2"/>
      <c r="V198" s="2"/>
      <c r="W198" s="2"/>
      <c r="X198" s="2"/>
    </row>
    <row r="199" spans="1:24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 t="s">
        <v>330</v>
      </c>
      <c r="M199" s="67">
        <v>0.06</v>
      </c>
      <c r="N199" s="68">
        <v>317</v>
      </c>
      <c r="O199" s="2" t="s">
        <v>9</v>
      </c>
      <c r="P199" s="69" t="s">
        <v>831</v>
      </c>
      <c r="Q199" s="71">
        <v>0.035</v>
      </c>
      <c r="R199" s="2"/>
      <c r="S199" s="2"/>
      <c r="T199" s="2"/>
      <c r="U199" s="2"/>
      <c r="V199" s="2"/>
      <c r="W199" s="2"/>
      <c r="X199" s="2"/>
    </row>
    <row r="200" spans="1:24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 t="s">
        <v>392</v>
      </c>
      <c r="M200" s="67">
        <v>0.05</v>
      </c>
      <c r="N200" s="68">
        <v>513</v>
      </c>
      <c r="O200" s="2" t="s">
        <v>12</v>
      </c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 t="s">
        <v>216</v>
      </c>
      <c r="M201" s="67">
        <v>0.0375</v>
      </c>
      <c r="N201" s="68">
        <v>0</v>
      </c>
      <c r="O201" s="2" t="s">
        <v>12</v>
      </c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 t="s">
        <v>393</v>
      </c>
      <c r="M202" s="67">
        <v>0.08</v>
      </c>
      <c r="N202" s="68">
        <v>513</v>
      </c>
      <c r="O202" s="2" t="s">
        <v>12</v>
      </c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 t="s">
        <v>331</v>
      </c>
      <c r="M203" s="67">
        <v>0.06</v>
      </c>
      <c r="N203" s="68">
        <v>317</v>
      </c>
      <c r="O203" s="2" t="s">
        <v>199</v>
      </c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 t="s">
        <v>217</v>
      </c>
      <c r="M204" s="67">
        <v>0.0375</v>
      </c>
      <c r="N204" s="68">
        <v>0</v>
      </c>
      <c r="O204" s="2" t="s">
        <v>12</v>
      </c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 t="s">
        <v>332</v>
      </c>
      <c r="M205" s="67">
        <v>0.06</v>
      </c>
      <c r="N205" s="68">
        <v>317</v>
      </c>
      <c r="O205" s="2" t="s">
        <v>9</v>
      </c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 t="s">
        <v>394</v>
      </c>
      <c r="M206" s="67">
        <v>0.09</v>
      </c>
      <c r="N206" s="68">
        <v>513</v>
      </c>
      <c r="O206" s="2" t="s">
        <v>12</v>
      </c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 t="s">
        <v>395</v>
      </c>
      <c r="M207" s="67">
        <v>0.08</v>
      </c>
      <c r="N207" s="68">
        <v>513</v>
      </c>
      <c r="O207" s="2" t="s">
        <v>12</v>
      </c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 t="s">
        <v>396</v>
      </c>
      <c r="M208" s="67">
        <v>0.08</v>
      </c>
      <c r="N208" s="68">
        <v>513</v>
      </c>
      <c r="O208" s="2" t="s">
        <v>12</v>
      </c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 t="s">
        <v>333</v>
      </c>
      <c r="M209" s="67">
        <v>0.06</v>
      </c>
      <c r="N209" s="68">
        <v>317</v>
      </c>
      <c r="O209" s="2" t="s">
        <v>199</v>
      </c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 t="s">
        <v>218</v>
      </c>
      <c r="M210" s="67">
        <v>0.0375</v>
      </c>
      <c r="N210" s="68">
        <v>0</v>
      </c>
      <c r="O210" s="2" t="s">
        <v>12</v>
      </c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 t="s">
        <v>219</v>
      </c>
      <c r="M211" s="67">
        <v>0.0375</v>
      </c>
      <c r="N211" s="68">
        <v>0</v>
      </c>
      <c r="O211" s="2" t="s">
        <v>12</v>
      </c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 t="s">
        <v>220</v>
      </c>
      <c r="M212" s="67">
        <v>0.0375</v>
      </c>
      <c r="N212" s="68">
        <v>0</v>
      </c>
      <c r="O212" s="2" t="s">
        <v>12</v>
      </c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 t="s">
        <v>397</v>
      </c>
      <c r="M213" s="67">
        <v>0.09</v>
      </c>
      <c r="N213" s="68">
        <v>513</v>
      </c>
      <c r="O213" s="2" t="s">
        <v>12</v>
      </c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 t="s">
        <v>398</v>
      </c>
      <c r="M214" s="67">
        <v>0.09</v>
      </c>
      <c r="N214" s="68">
        <v>513</v>
      </c>
      <c r="O214" s="2" t="s">
        <v>12</v>
      </c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 t="s">
        <v>399</v>
      </c>
      <c r="M215" s="67">
        <v>0.03</v>
      </c>
      <c r="N215" s="68">
        <v>513</v>
      </c>
      <c r="O215" s="2" t="s">
        <v>12</v>
      </c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 t="s">
        <v>334</v>
      </c>
      <c r="M216" s="67">
        <v>0.07</v>
      </c>
      <c r="N216" s="68">
        <v>317</v>
      </c>
      <c r="O216" s="2" t="s">
        <v>199</v>
      </c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 t="s">
        <v>400</v>
      </c>
      <c r="M217" s="67">
        <v>0.08</v>
      </c>
      <c r="N217" s="68">
        <v>513</v>
      </c>
      <c r="O217" s="2" t="s">
        <v>12</v>
      </c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 t="s">
        <v>335</v>
      </c>
      <c r="M218" s="67">
        <v>0.11</v>
      </c>
      <c r="N218" s="68">
        <v>317</v>
      </c>
      <c r="O218" s="2" t="s">
        <v>199</v>
      </c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 t="s">
        <v>336</v>
      </c>
      <c r="M219" s="67">
        <v>0.11</v>
      </c>
      <c r="N219" s="68">
        <v>317</v>
      </c>
      <c r="O219" s="2" t="s">
        <v>9</v>
      </c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 t="s">
        <v>401</v>
      </c>
      <c r="M220" s="67">
        <v>0.08</v>
      </c>
      <c r="N220" s="68">
        <v>513</v>
      </c>
      <c r="O220" s="2" t="s">
        <v>12</v>
      </c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 t="s">
        <v>515</v>
      </c>
      <c r="M221" s="67">
        <v>0.08</v>
      </c>
      <c r="N221" s="68">
        <v>513</v>
      </c>
      <c r="O221" s="2" t="s">
        <v>12</v>
      </c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 t="s">
        <v>221</v>
      </c>
      <c r="M222" s="67">
        <v>0.0375</v>
      </c>
      <c r="N222" s="68">
        <v>0</v>
      </c>
      <c r="O222" s="2" t="s">
        <v>12</v>
      </c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 t="s">
        <v>222</v>
      </c>
      <c r="M223" s="67">
        <v>0.0375</v>
      </c>
      <c r="N223" s="68">
        <v>0</v>
      </c>
      <c r="O223" s="2" t="s">
        <v>12</v>
      </c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 t="s">
        <v>402</v>
      </c>
      <c r="M224" s="67">
        <v>0.1</v>
      </c>
      <c r="N224" s="68">
        <v>513</v>
      </c>
      <c r="O224" s="2" t="s">
        <v>12</v>
      </c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 t="s">
        <v>337</v>
      </c>
      <c r="M225" s="67">
        <v>0.08</v>
      </c>
      <c r="N225" s="68">
        <v>0</v>
      </c>
      <c r="O225" s="2" t="s">
        <v>199</v>
      </c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 t="s">
        <v>403</v>
      </c>
      <c r="M226" s="67">
        <v>0.08</v>
      </c>
      <c r="N226" s="68">
        <v>513</v>
      </c>
      <c r="O226" s="2" t="s">
        <v>12</v>
      </c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 t="s">
        <v>404</v>
      </c>
      <c r="M227" s="67">
        <v>0.1</v>
      </c>
      <c r="N227" s="68">
        <v>513</v>
      </c>
      <c r="O227" s="2" t="s">
        <v>12</v>
      </c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 t="s">
        <v>405</v>
      </c>
      <c r="M228" s="67">
        <v>0.05</v>
      </c>
      <c r="N228" s="68">
        <v>513</v>
      </c>
      <c r="O228" s="2" t="s">
        <v>12</v>
      </c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 t="s">
        <v>223</v>
      </c>
      <c r="M229" s="67">
        <v>0.0375</v>
      </c>
      <c r="N229" s="68">
        <v>0</v>
      </c>
      <c r="O229" s="2" t="s">
        <v>12</v>
      </c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 t="s">
        <v>224</v>
      </c>
      <c r="M230" s="67">
        <v>0</v>
      </c>
      <c r="N230" s="68">
        <v>0</v>
      </c>
      <c r="O230" s="2" t="s">
        <v>12</v>
      </c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 t="s">
        <v>275</v>
      </c>
      <c r="M231" s="67">
        <v>0.08</v>
      </c>
      <c r="N231" s="68">
        <v>238</v>
      </c>
      <c r="O231" s="2" t="s">
        <v>9</v>
      </c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 t="s">
        <v>276</v>
      </c>
      <c r="M232" s="67">
        <v>0.08</v>
      </c>
      <c r="N232" s="68">
        <v>238</v>
      </c>
      <c r="O232" s="2" t="s">
        <v>199</v>
      </c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 t="s">
        <v>277</v>
      </c>
      <c r="M233" s="67">
        <v>0.08</v>
      </c>
      <c r="N233" s="68">
        <v>238</v>
      </c>
      <c r="O233" s="2" t="s">
        <v>9</v>
      </c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 t="s">
        <v>278</v>
      </c>
      <c r="M234" s="67">
        <v>0.08</v>
      </c>
      <c r="N234" s="68">
        <v>238</v>
      </c>
      <c r="O234" s="2" t="s">
        <v>199</v>
      </c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 t="s">
        <v>279</v>
      </c>
      <c r="M235" s="67">
        <v>0.08</v>
      </c>
      <c r="N235" s="68">
        <v>238</v>
      </c>
      <c r="O235" s="2" t="s">
        <v>9</v>
      </c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 t="s">
        <v>482</v>
      </c>
      <c r="M236" s="67">
        <v>0.13</v>
      </c>
      <c r="N236" s="68">
        <v>863</v>
      </c>
      <c r="O236" s="2" t="s">
        <v>199</v>
      </c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 t="s">
        <v>483</v>
      </c>
      <c r="M237" s="67">
        <v>0.08</v>
      </c>
      <c r="N237" s="68">
        <v>863</v>
      </c>
      <c r="O237" s="2" t="s">
        <v>9</v>
      </c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 t="s">
        <v>406</v>
      </c>
      <c r="M238" s="67">
        <v>0.08</v>
      </c>
      <c r="N238" s="68">
        <v>513</v>
      </c>
      <c r="O238" s="2" t="s">
        <v>199</v>
      </c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 t="s">
        <v>407</v>
      </c>
      <c r="M239" s="67">
        <v>0.08</v>
      </c>
      <c r="N239" s="68">
        <v>513</v>
      </c>
      <c r="O239" s="2" t="s">
        <v>9</v>
      </c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 t="s">
        <v>408</v>
      </c>
      <c r="M240" s="67">
        <v>0.06</v>
      </c>
      <c r="N240" s="68">
        <v>513</v>
      </c>
      <c r="O240" s="2" t="s">
        <v>199</v>
      </c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 t="s">
        <v>409</v>
      </c>
      <c r="M241" s="67">
        <v>0.14</v>
      </c>
      <c r="N241" s="68">
        <v>863</v>
      </c>
      <c r="O241" s="2" t="s">
        <v>9</v>
      </c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 t="s">
        <v>410</v>
      </c>
      <c r="M242" s="67">
        <v>0.13</v>
      </c>
      <c r="N242" s="68">
        <v>513</v>
      </c>
      <c r="O242" s="2" t="s">
        <v>199</v>
      </c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 t="s">
        <v>411</v>
      </c>
      <c r="M243" s="67">
        <v>0.13</v>
      </c>
      <c r="N243" s="68">
        <v>513</v>
      </c>
      <c r="O243" s="2" t="s">
        <v>9</v>
      </c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 t="s">
        <v>412</v>
      </c>
      <c r="M244" s="67">
        <v>0.13</v>
      </c>
      <c r="N244" s="68">
        <v>513</v>
      </c>
      <c r="O244" s="2" t="s">
        <v>199</v>
      </c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 t="s">
        <v>413</v>
      </c>
      <c r="M245" s="67">
        <v>0.13</v>
      </c>
      <c r="N245" s="68">
        <v>513</v>
      </c>
      <c r="O245" s="2" t="s">
        <v>9</v>
      </c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 t="s">
        <v>414</v>
      </c>
      <c r="M246" s="67">
        <v>0.13</v>
      </c>
      <c r="N246" s="68">
        <v>513</v>
      </c>
      <c r="O246" s="2" t="s">
        <v>199</v>
      </c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 t="s">
        <v>415</v>
      </c>
      <c r="M247" s="67">
        <v>0.13</v>
      </c>
      <c r="N247" s="68">
        <v>513</v>
      </c>
      <c r="O247" s="2" t="s">
        <v>9</v>
      </c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 t="s">
        <v>484</v>
      </c>
      <c r="M248" s="67">
        <v>0.13</v>
      </c>
      <c r="N248" s="68">
        <v>863</v>
      </c>
      <c r="O248" s="2" t="s">
        <v>199</v>
      </c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 t="s">
        <v>485</v>
      </c>
      <c r="M249" s="67">
        <v>0.13</v>
      </c>
      <c r="N249" s="68">
        <v>863</v>
      </c>
      <c r="O249" s="2" t="s">
        <v>9</v>
      </c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 t="s">
        <v>416</v>
      </c>
      <c r="M250" s="67">
        <v>0.06</v>
      </c>
      <c r="N250" s="68">
        <v>513</v>
      </c>
      <c r="O250" s="2" t="s">
        <v>199</v>
      </c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 t="s">
        <v>417</v>
      </c>
      <c r="M251" s="67">
        <v>0.06</v>
      </c>
      <c r="N251" s="68">
        <v>513</v>
      </c>
      <c r="O251" s="2" t="s">
        <v>9</v>
      </c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 t="s">
        <v>418</v>
      </c>
      <c r="M252" s="67">
        <v>0.06</v>
      </c>
      <c r="N252" s="68">
        <v>513</v>
      </c>
      <c r="O252" s="2" t="s">
        <v>199</v>
      </c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 t="s">
        <v>419</v>
      </c>
      <c r="M253" s="67">
        <v>0.06</v>
      </c>
      <c r="N253" s="68">
        <v>513</v>
      </c>
      <c r="O253" s="2" t="s">
        <v>9</v>
      </c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 t="s">
        <v>835</v>
      </c>
      <c r="M254" s="67">
        <v>0.14</v>
      </c>
      <c r="N254" s="68">
        <v>513</v>
      </c>
      <c r="O254" s="2" t="s">
        <v>9</v>
      </c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 t="s">
        <v>836</v>
      </c>
      <c r="M255" s="67">
        <v>0.14</v>
      </c>
      <c r="N255" s="68">
        <v>513</v>
      </c>
      <c r="O255" s="2" t="s">
        <v>9</v>
      </c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 t="s">
        <v>420</v>
      </c>
      <c r="M256" s="67">
        <v>0.13</v>
      </c>
      <c r="N256" s="68">
        <v>513</v>
      </c>
      <c r="O256" s="2" t="s">
        <v>9</v>
      </c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 t="s">
        <v>486</v>
      </c>
      <c r="M257" s="67">
        <v>0.11</v>
      </c>
      <c r="N257" s="68">
        <v>863</v>
      </c>
      <c r="O257" s="2" t="s">
        <v>199</v>
      </c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 t="s">
        <v>487</v>
      </c>
      <c r="M258" s="67">
        <v>0.13</v>
      </c>
      <c r="N258" s="68">
        <v>863</v>
      </c>
      <c r="O258" s="2" t="s">
        <v>9</v>
      </c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 t="s">
        <v>421</v>
      </c>
      <c r="M259" s="67">
        <v>0.11</v>
      </c>
      <c r="N259" s="68">
        <v>513</v>
      </c>
      <c r="O259" s="2" t="s">
        <v>199</v>
      </c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 t="s">
        <v>488</v>
      </c>
      <c r="M260" s="67">
        <v>0.125</v>
      </c>
      <c r="N260" s="68">
        <v>863</v>
      </c>
      <c r="O260" s="2" t="s">
        <v>9</v>
      </c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 t="s">
        <v>489</v>
      </c>
      <c r="M261" s="67">
        <v>0.125</v>
      </c>
      <c r="N261" s="68">
        <v>863</v>
      </c>
      <c r="O261" s="2" t="s">
        <v>199</v>
      </c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 t="s">
        <v>280</v>
      </c>
      <c r="M262" s="67">
        <v>0.08</v>
      </c>
      <c r="N262" s="68">
        <v>238</v>
      </c>
      <c r="O262" s="2" t="s">
        <v>9</v>
      </c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 t="s">
        <v>281</v>
      </c>
      <c r="M263" s="67">
        <v>0.08</v>
      </c>
      <c r="N263" s="68">
        <v>317</v>
      </c>
      <c r="O263" s="2" t="s">
        <v>199</v>
      </c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 t="s">
        <v>338</v>
      </c>
      <c r="M264" s="67">
        <v>0.01</v>
      </c>
      <c r="N264" s="68">
        <v>317</v>
      </c>
      <c r="O264" s="2" t="s">
        <v>9</v>
      </c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 t="s">
        <v>339</v>
      </c>
      <c r="M265" s="67">
        <v>0.01</v>
      </c>
      <c r="N265" s="68">
        <v>317</v>
      </c>
      <c r="O265" s="2" t="s">
        <v>199</v>
      </c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 t="s">
        <v>340</v>
      </c>
      <c r="M266" s="67">
        <v>0.115</v>
      </c>
      <c r="N266" s="68">
        <v>317</v>
      </c>
      <c r="O266" s="2" t="s">
        <v>9</v>
      </c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 t="s">
        <v>341</v>
      </c>
      <c r="M267" s="67">
        <v>0.11</v>
      </c>
      <c r="N267" s="68">
        <v>317</v>
      </c>
      <c r="O267" s="2" t="s">
        <v>199</v>
      </c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 t="s">
        <v>342</v>
      </c>
      <c r="M268" s="67">
        <v>0.11</v>
      </c>
      <c r="N268" s="68">
        <v>317</v>
      </c>
      <c r="O268" s="2" t="s">
        <v>9</v>
      </c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 t="s">
        <v>343</v>
      </c>
      <c r="M269" s="67">
        <v>0.07</v>
      </c>
      <c r="N269" s="68">
        <v>317</v>
      </c>
      <c r="O269" s="2" t="s">
        <v>199</v>
      </c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 t="s">
        <v>344</v>
      </c>
      <c r="M270" s="67">
        <v>0.11</v>
      </c>
      <c r="N270" s="68">
        <v>317</v>
      </c>
      <c r="O270" s="2" t="s">
        <v>9</v>
      </c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 t="s">
        <v>345</v>
      </c>
      <c r="M271" s="67">
        <v>0.11</v>
      </c>
      <c r="N271" s="68">
        <v>317</v>
      </c>
      <c r="O271" s="2" t="s">
        <v>199</v>
      </c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 t="s">
        <v>490</v>
      </c>
      <c r="M272" s="67">
        <v>0.135</v>
      </c>
      <c r="N272" s="68">
        <v>863</v>
      </c>
      <c r="O272" s="2" t="s">
        <v>199</v>
      </c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 t="s">
        <v>491</v>
      </c>
      <c r="M273" s="67">
        <v>0.135</v>
      </c>
      <c r="N273" s="68">
        <v>863</v>
      </c>
      <c r="O273" s="2" t="s">
        <v>9</v>
      </c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 t="s">
        <v>346</v>
      </c>
      <c r="M274" s="67">
        <v>0.1</v>
      </c>
      <c r="N274" s="68">
        <v>317</v>
      </c>
      <c r="O274" s="2" t="s">
        <v>9</v>
      </c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 t="s">
        <v>347</v>
      </c>
      <c r="M275" s="67">
        <v>0.1</v>
      </c>
      <c r="N275" s="68">
        <v>317</v>
      </c>
      <c r="O275" s="2" t="s">
        <v>199</v>
      </c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 t="s">
        <v>348</v>
      </c>
      <c r="M276" s="67">
        <v>0.135</v>
      </c>
      <c r="N276" s="68">
        <v>317</v>
      </c>
      <c r="O276" s="2" t="s">
        <v>199</v>
      </c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 t="s">
        <v>349</v>
      </c>
      <c r="M277" s="67">
        <v>0.135</v>
      </c>
      <c r="N277" s="68">
        <v>317</v>
      </c>
      <c r="O277" s="2" t="s">
        <v>9</v>
      </c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 t="s">
        <v>350</v>
      </c>
      <c r="M278" s="67">
        <v>0.135</v>
      </c>
      <c r="N278" s="68">
        <v>317</v>
      </c>
      <c r="O278" s="2" t="s">
        <v>9</v>
      </c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 t="s">
        <v>524</v>
      </c>
      <c r="M279" s="67">
        <v>0.115</v>
      </c>
      <c r="N279" s="68">
        <v>317</v>
      </c>
      <c r="O279" s="2" t="s">
        <v>9</v>
      </c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 t="s">
        <v>525</v>
      </c>
      <c r="M280" s="67">
        <v>0.115</v>
      </c>
      <c r="N280" s="68">
        <v>317</v>
      </c>
      <c r="O280" s="2" t="s">
        <v>199</v>
      </c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 t="s">
        <v>526</v>
      </c>
      <c r="M281" s="67">
        <v>0.115</v>
      </c>
      <c r="N281" s="68">
        <v>317</v>
      </c>
      <c r="O281" s="2" t="s">
        <v>9</v>
      </c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 t="s">
        <v>527</v>
      </c>
      <c r="M282" s="67">
        <v>0.115</v>
      </c>
      <c r="N282" s="68">
        <v>317</v>
      </c>
      <c r="O282" s="2" t="s">
        <v>9</v>
      </c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 t="s">
        <v>528</v>
      </c>
      <c r="M283" s="67">
        <v>0.115</v>
      </c>
      <c r="N283" s="68">
        <v>317</v>
      </c>
      <c r="O283" s="2" t="s">
        <v>9</v>
      </c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 t="s">
        <v>529</v>
      </c>
      <c r="M284" s="67">
        <v>0.115</v>
      </c>
      <c r="N284" s="68">
        <v>317</v>
      </c>
      <c r="O284" s="2" t="s">
        <v>199</v>
      </c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 t="s">
        <v>530</v>
      </c>
      <c r="M285" s="67">
        <v>0.115</v>
      </c>
      <c r="N285" s="68">
        <v>317</v>
      </c>
      <c r="O285" s="2" t="s">
        <v>9</v>
      </c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 t="s">
        <v>531</v>
      </c>
      <c r="M286" s="67">
        <v>0.115</v>
      </c>
      <c r="N286" s="68">
        <v>317</v>
      </c>
      <c r="O286" s="2" t="s">
        <v>199</v>
      </c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 t="s">
        <v>532</v>
      </c>
      <c r="M287" s="67">
        <v>0.115</v>
      </c>
      <c r="N287" s="68">
        <v>317</v>
      </c>
      <c r="O287" s="2" t="s">
        <v>9</v>
      </c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 t="s">
        <v>533</v>
      </c>
      <c r="M288" s="67">
        <v>0.115</v>
      </c>
      <c r="N288" s="68">
        <v>317</v>
      </c>
      <c r="O288" s="2" t="s">
        <v>9</v>
      </c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 t="s">
        <v>534</v>
      </c>
      <c r="M289" s="67">
        <v>0.115</v>
      </c>
      <c r="N289" s="68">
        <v>317</v>
      </c>
      <c r="O289" s="2" t="s">
        <v>9</v>
      </c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 t="s">
        <v>535</v>
      </c>
      <c r="M290" s="67">
        <v>0.115</v>
      </c>
      <c r="N290" s="68">
        <v>317</v>
      </c>
      <c r="O290" s="2" t="s">
        <v>9</v>
      </c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 t="s">
        <v>351</v>
      </c>
      <c r="M291" s="67">
        <v>0.06</v>
      </c>
      <c r="N291" s="68">
        <v>317</v>
      </c>
      <c r="O291" s="2" t="s">
        <v>9</v>
      </c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 t="s">
        <v>352</v>
      </c>
      <c r="M292" s="67">
        <v>0.06</v>
      </c>
      <c r="N292" s="68">
        <v>317</v>
      </c>
      <c r="O292" s="2" t="s">
        <v>199</v>
      </c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 t="s">
        <v>282</v>
      </c>
      <c r="M293" s="67">
        <v>0</v>
      </c>
      <c r="N293" s="68">
        <v>238</v>
      </c>
      <c r="O293" s="2" t="s">
        <v>199</v>
      </c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 t="s">
        <v>283</v>
      </c>
      <c r="M294" s="67">
        <v>0.08</v>
      </c>
      <c r="N294" s="68">
        <v>238</v>
      </c>
      <c r="O294" s="2" t="s">
        <v>199</v>
      </c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 t="s">
        <v>284</v>
      </c>
      <c r="M295" s="67">
        <v>0</v>
      </c>
      <c r="N295" s="68">
        <v>238</v>
      </c>
      <c r="O295" s="2" t="s">
        <v>9</v>
      </c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 t="s">
        <v>285</v>
      </c>
      <c r="M296" s="67">
        <v>0.08</v>
      </c>
      <c r="N296" s="68">
        <v>238</v>
      </c>
      <c r="O296" s="2" t="s">
        <v>9</v>
      </c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 t="s">
        <v>225</v>
      </c>
      <c r="M297" s="67">
        <v>0</v>
      </c>
      <c r="N297" s="68">
        <v>0</v>
      </c>
      <c r="O297" s="2" t="s">
        <v>199</v>
      </c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 t="s">
        <v>226</v>
      </c>
      <c r="M298" s="67">
        <v>0</v>
      </c>
      <c r="N298" s="68">
        <v>0</v>
      </c>
      <c r="O298" s="2" t="s">
        <v>199</v>
      </c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 t="s">
        <v>353</v>
      </c>
      <c r="M299" s="67">
        <v>0.01</v>
      </c>
      <c r="N299" s="68">
        <v>317</v>
      </c>
      <c r="O299" s="2" t="s">
        <v>199</v>
      </c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 t="s">
        <v>422</v>
      </c>
      <c r="M300" s="67">
        <v>0.05</v>
      </c>
      <c r="N300" s="68">
        <v>513</v>
      </c>
      <c r="O300" s="2" t="s">
        <v>12</v>
      </c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 t="s">
        <v>227</v>
      </c>
      <c r="M301" s="67">
        <v>0.0375</v>
      </c>
      <c r="N301" s="68">
        <v>0</v>
      </c>
      <c r="O301" s="2" t="s">
        <v>12</v>
      </c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 t="s">
        <v>228</v>
      </c>
      <c r="M302" s="67">
        <v>0.0375</v>
      </c>
      <c r="N302" s="68">
        <v>0</v>
      </c>
      <c r="O302" s="2" t="s">
        <v>12</v>
      </c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 t="s">
        <v>354</v>
      </c>
      <c r="M303" s="67">
        <v>0.01</v>
      </c>
      <c r="N303" s="68">
        <v>317</v>
      </c>
      <c r="O303" s="2" t="s">
        <v>9</v>
      </c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 t="s">
        <v>229</v>
      </c>
      <c r="M304" s="67">
        <v>0.015</v>
      </c>
      <c r="N304" s="68">
        <v>0</v>
      </c>
      <c r="O304" s="2" t="s">
        <v>9</v>
      </c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 t="s">
        <v>423</v>
      </c>
      <c r="M305" s="67">
        <v>0</v>
      </c>
      <c r="N305" s="68">
        <v>513</v>
      </c>
      <c r="O305" s="2" t="s">
        <v>12</v>
      </c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 t="s">
        <v>424</v>
      </c>
      <c r="M306" s="67">
        <v>0.09</v>
      </c>
      <c r="N306" s="68">
        <v>513</v>
      </c>
      <c r="O306" s="2" t="s">
        <v>12</v>
      </c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 t="s">
        <v>425</v>
      </c>
      <c r="M307" s="67">
        <v>0.09</v>
      </c>
      <c r="N307" s="68">
        <v>513</v>
      </c>
      <c r="O307" s="2" t="s">
        <v>12</v>
      </c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 t="s">
        <v>426</v>
      </c>
      <c r="M308" s="67">
        <v>0.09</v>
      </c>
      <c r="N308" s="68">
        <v>513</v>
      </c>
      <c r="O308" s="2" t="s">
        <v>12</v>
      </c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 t="s">
        <v>230</v>
      </c>
      <c r="M309" s="67">
        <v>0.0375</v>
      </c>
      <c r="N309" s="68">
        <v>0</v>
      </c>
      <c r="O309" s="2" t="s">
        <v>12</v>
      </c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 t="s">
        <v>355</v>
      </c>
      <c r="M310" s="67">
        <v>0.11</v>
      </c>
      <c r="N310" s="68">
        <v>317</v>
      </c>
      <c r="O310" s="2" t="s">
        <v>199</v>
      </c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 t="s">
        <v>356</v>
      </c>
      <c r="M311" s="67">
        <v>0.11</v>
      </c>
      <c r="N311" s="68">
        <v>317</v>
      </c>
      <c r="O311" s="2" t="s">
        <v>9</v>
      </c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 t="s">
        <v>427</v>
      </c>
      <c r="M312" s="67">
        <v>0.1</v>
      </c>
      <c r="N312" s="68">
        <v>513</v>
      </c>
      <c r="O312" s="2" t="s">
        <v>12</v>
      </c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 t="s">
        <v>357</v>
      </c>
      <c r="M313" s="67">
        <v>0.11</v>
      </c>
      <c r="N313" s="68">
        <v>317</v>
      </c>
      <c r="O313" s="2" t="s">
        <v>199</v>
      </c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 t="s">
        <v>358</v>
      </c>
      <c r="M314" s="67">
        <v>0.11</v>
      </c>
      <c r="N314" s="68">
        <v>317</v>
      </c>
      <c r="O314" s="2" t="s">
        <v>9</v>
      </c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 t="s">
        <v>428</v>
      </c>
      <c r="M315" s="67">
        <v>0.05</v>
      </c>
      <c r="N315" s="68">
        <v>513</v>
      </c>
      <c r="O315" s="2" t="s">
        <v>12</v>
      </c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 t="s">
        <v>429</v>
      </c>
      <c r="M316" s="67">
        <v>0.1</v>
      </c>
      <c r="N316" s="68">
        <v>513</v>
      </c>
      <c r="O316" s="2" t="s">
        <v>12</v>
      </c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 t="s">
        <v>430</v>
      </c>
      <c r="M317" s="67">
        <v>0.1</v>
      </c>
      <c r="N317" s="68">
        <v>513</v>
      </c>
      <c r="O317" s="2" t="s">
        <v>12</v>
      </c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 t="s">
        <v>431</v>
      </c>
      <c r="M318" s="67">
        <v>0.09</v>
      </c>
      <c r="N318" s="68">
        <v>513</v>
      </c>
      <c r="O318" s="2" t="s">
        <v>12</v>
      </c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 t="s">
        <v>432</v>
      </c>
      <c r="M319" s="67">
        <v>0.09</v>
      </c>
      <c r="N319" s="68">
        <v>513</v>
      </c>
      <c r="O319" s="2" t="s">
        <v>12</v>
      </c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 t="s">
        <v>359</v>
      </c>
      <c r="M320" s="67">
        <v>0.09</v>
      </c>
      <c r="N320" s="68">
        <v>317</v>
      </c>
      <c r="O320" s="2" t="s">
        <v>199</v>
      </c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 t="s">
        <v>360</v>
      </c>
      <c r="M321" s="67">
        <v>0.1</v>
      </c>
      <c r="N321" s="68">
        <v>317</v>
      </c>
      <c r="O321" s="2" t="s">
        <v>9</v>
      </c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 t="s">
        <v>361</v>
      </c>
      <c r="M322" s="67">
        <v>0.1</v>
      </c>
      <c r="N322" s="68">
        <v>317</v>
      </c>
      <c r="O322" s="2" t="s">
        <v>199</v>
      </c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 t="s">
        <v>362</v>
      </c>
      <c r="M323" s="67">
        <v>0.1</v>
      </c>
      <c r="N323" s="68">
        <v>317</v>
      </c>
      <c r="O323" s="2" t="s">
        <v>9</v>
      </c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 t="s">
        <v>433</v>
      </c>
      <c r="M324" s="67">
        <v>0.09</v>
      </c>
      <c r="N324" s="68">
        <v>513</v>
      </c>
      <c r="O324" s="2" t="s">
        <v>12</v>
      </c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 t="s">
        <v>434</v>
      </c>
      <c r="M325" s="67">
        <v>0.09</v>
      </c>
      <c r="N325" s="68">
        <v>513</v>
      </c>
      <c r="O325" s="2" t="s">
        <v>12</v>
      </c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 t="s">
        <v>435</v>
      </c>
      <c r="M326" s="67">
        <v>0.095</v>
      </c>
      <c r="N326" s="68">
        <v>513</v>
      </c>
      <c r="O326" s="2" t="s">
        <v>12</v>
      </c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 t="s">
        <v>436</v>
      </c>
      <c r="M327" s="67">
        <v>0.1</v>
      </c>
      <c r="N327" s="68">
        <v>513</v>
      </c>
      <c r="O327" s="2" t="s">
        <v>12</v>
      </c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 t="s">
        <v>437</v>
      </c>
      <c r="M328" s="67">
        <v>0.1</v>
      </c>
      <c r="N328" s="68">
        <v>513</v>
      </c>
      <c r="O328" s="2" t="s">
        <v>12</v>
      </c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 t="s">
        <v>203</v>
      </c>
      <c r="M329" s="67">
        <v>0.1</v>
      </c>
      <c r="N329" s="68">
        <v>513</v>
      </c>
      <c r="O329" s="2" t="s">
        <v>12</v>
      </c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 t="s">
        <v>438</v>
      </c>
      <c r="M330" s="67">
        <v>0.05</v>
      </c>
      <c r="N330" s="68">
        <v>513</v>
      </c>
      <c r="O330" s="2" t="s">
        <v>12</v>
      </c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 t="s">
        <v>439</v>
      </c>
      <c r="M331" s="67">
        <v>0.1</v>
      </c>
      <c r="N331" s="68">
        <v>513</v>
      </c>
      <c r="O331" s="2" t="s">
        <v>12</v>
      </c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 t="s">
        <v>440</v>
      </c>
      <c r="M332" s="67">
        <v>0.1</v>
      </c>
      <c r="N332" s="68">
        <v>513</v>
      </c>
      <c r="O332" s="2" t="s">
        <v>12</v>
      </c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 t="s">
        <v>441</v>
      </c>
      <c r="M333" s="67">
        <v>0.1</v>
      </c>
      <c r="N333" s="68">
        <v>513</v>
      </c>
      <c r="O333" s="2" t="s">
        <v>12</v>
      </c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 t="s">
        <v>442</v>
      </c>
      <c r="M334" s="67">
        <v>0.1</v>
      </c>
      <c r="N334" s="68">
        <v>513</v>
      </c>
      <c r="O334" s="2" t="s">
        <v>12</v>
      </c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 t="s">
        <v>443</v>
      </c>
      <c r="M335" s="67">
        <v>0.1</v>
      </c>
      <c r="N335" s="68">
        <v>513</v>
      </c>
      <c r="O335" s="2" t="s">
        <v>12</v>
      </c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 t="s">
        <v>444</v>
      </c>
      <c r="M336" s="67">
        <v>0.05</v>
      </c>
      <c r="N336" s="68">
        <v>513</v>
      </c>
      <c r="O336" s="2" t="s">
        <v>12</v>
      </c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 t="s">
        <v>445</v>
      </c>
      <c r="M337" s="67">
        <v>0.1</v>
      </c>
      <c r="N337" s="68">
        <v>513</v>
      </c>
      <c r="O337" s="2" t="s">
        <v>12</v>
      </c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 t="s">
        <v>446</v>
      </c>
      <c r="M338" s="67">
        <v>0.125</v>
      </c>
      <c r="N338" s="68">
        <v>513</v>
      </c>
      <c r="O338" s="2" t="s">
        <v>12</v>
      </c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 t="s">
        <v>447</v>
      </c>
      <c r="M339" s="67">
        <v>0.1</v>
      </c>
      <c r="N339" s="68">
        <v>513</v>
      </c>
      <c r="O339" s="2" t="s">
        <v>12</v>
      </c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 t="s">
        <v>448</v>
      </c>
      <c r="M340" s="67">
        <v>0.1</v>
      </c>
      <c r="N340" s="68">
        <v>513</v>
      </c>
      <c r="O340" s="2" t="s">
        <v>12</v>
      </c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 t="s">
        <v>449</v>
      </c>
      <c r="M341" s="67">
        <v>0.1</v>
      </c>
      <c r="N341" s="68">
        <v>513</v>
      </c>
      <c r="O341" s="2" t="s">
        <v>12</v>
      </c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 t="s">
        <v>450</v>
      </c>
      <c r="M342" s="67">
        <v>0.08</v>
      </c>
      <c r="N342" s="68">
        <v>513</v>
      </c>
      <c r="O342" s="2" t="s">
        <v>12</v>
      </c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 t="s">
        <v>451</v>
      </c>
      <c r="M343" s="67">
        <v>0.08</v>
      </c>
      <c r="N343" s="68">
        <v>513</v>
      </c>
      <c r="O343" s="2" t="s">
        <v>12</v>
      </c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 t="s">
        <v>452</v>
      </c>
      <c r="M344" s="67">
        <v>0.09</v>
      </c>
      <c r="N344" s="68">
        <v>513</v>
      </c>
      <c r="O344" s="2" t="s">
        <v>12</v>
      </c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 t="s">
        <v>453</v>
      </c>
      <c r="M345" s="67">
        <v>0.09</v>
      </c>
      <c r="N345" s="68">
        <v>513</v>
      </c>
      <c r="O345" s="2" t="s">
        <v>12</v>
      </c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 t="s">
        <v>454</v>
      </c>
      <c r="M346" s="67">
        <v>0.08</v>
      </c>
      <c r="N346" s="68">
        <v>513</v>
      </c>
      <c r="O346" s="2" t="s">
        <v>12</v>
      </c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 t="s">
        <v>455</v>
      </c>
      <c r="M347" s="67">
        <v>0.09</v>
      </c>
      <c r="N347" s="68">
        <v>513</v>
      </c>
      <c r="O347" s="2" t="s">
        <v>12</v>
      </c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 t="s">
        <v>456</v>
      </c>
      <c r="M348" s="67">
        <v>0.125</v>
      </c>
      <c r="N348" s="68">
        <v>513</v>
      </c>
      <c r="O348" s="2" t="s">
        <v>12</v>
      </c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 t="s">
        <v>457</v>
      </c>
      <c r="M349" s="67">
        <v>0.09</v>
      </c>
      <c r="N349" s="68">
        <v>513</v>
      </c>
      <c r="O349" s="2" t="s">
        <v>12</v>
      </c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 t="s">
        <v>458</v>
      </c>
      <c r="M350" s="67">
        <v>0.09</v>
      </c>
      <c r="N350" s="68">
        <v>513</v>
      </c>
      <c r="O350" s="2" t="s">
        <v>12</v>
      </c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 t="s">
        <v>459</v>
      </c>
      <c r="M351" s="67">
        <v>0.08</v>
      </c>
      <c r="N351" s="68">
        <v>513</v>
      </c>
      <c r="O351" s="2" t="s">
        <v>12</v>
      </c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 t="s">
        <v>460</v>
      </c>
      <c r="M352" s="67">
        <v>0.095</v>
      </c>
      <c r="N352" s="68">
        <v>513</v>
      </c>
      <c r="O352" s="2" t="s">
        <v>12</v>
      </c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 t="s">
        <v>231</v>
      </c>
      <c r="M353" s="67">
        <v>0.08</v>
      </c>
      <c r="N353" s="68">
        <v>0</v>
      </c>
      <c r="O353" s="2" t="s">
        <v>199</v>
      </c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 t="s">
        <v>232</v>
      </c>
      <c r="M354" s="67">
        <v>0.01</v>
      </c>
      <c r="N354" s="68">
        <v>0</v>
      </c>
      <c r="O354" s="2" t="s">
        <v>199</v>
      </c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 t="s">
        <v>233</v>
      </c>
      <c r="M355" s="67">
        <v>0.01</v>
      </c>
      <c r="N355" s="68">
        <v>0</v>
      </c>
      <c r="O355" s="2" t="s">
        <v>9</v>
      </c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 t="s">
        <v>234</v>
      </c>
      <c r="M356" s="67">
        <v>0</v>
      </c>
      <c r="N356" s="68">
        <v>0</v>
      </c>
      <c r="O356" s="2" t="s">
        <v>199</v>
      </c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 t="s">
        <v>235</v>
      </c>
      <c r="M357" s="67">
        <v>0.16</v>
      </c>
      <c r="N357" s="68">
        <v>0</v>
      </c>
      <c r="O357" s="2" t="s">
        <v>9</v>
      </c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 t="s">
        <v>236</v>
      </c>
      <c r="M358" s="67">
        <v>0.16</v>
      </c>
      <c r="N358" s="68">
        <v>0</v>
      </c>
      <c r="O358" s="2" t="s">
        <v>199</v>
      </c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 t="s">
        <v>237</v>
      </c>
      <c r="M359" s="67">
        <v>0.08</v>
      </c>
      <c r="N359" s="68">
        <v>0</v>
      </c>
      <c r="O359" s="2" t="s">
        <v>9</v>
      </c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 t="s">
        <v>238</v>
      </c>
      <c r="M360" s="67">
        <v>0</v>
      </c>
      <c r="N360" s="68">
        <v>0</v>
      </c>
      <c r="O360" s="2" t="s">
        <v>199</v>
      </c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 t="s">
        <v>239</v>
      </c>
      <c r="M361" s="67">
        <v>0</v>
      </c>
      <c r="N361" s="68">
        <v>0</v>
      </c>
      <c r="O361" s="2" t="s">
        <v>9</v>
      </c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 t="s">
        <v>240</v>
      </c>
      <c r="M362" s="67">
        <v>0</v>
      </c>
      <c r="N362" s="68">
        <v>0</v>
      </c>
      <c r="O362" s="2" t="s">
        <v>199</v>
      </c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 t="s">
        <v>241</v>
      </c>
      <c r="M363" s="67">
        <v>0</v>
      </c>
      <c r="N363" s="68">
        <v>0</v>
      </c>
      <c r="O363" s="2" t="s">
        <v>9</v>
      </c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 t="s">
        <v>242</v>
      </c>
      <c r="M364" s="67">
        <v>0</v>
      </c>
      <c r="N364" s="68">
        <v>0</v>
      </c>
      <c r="O364" s="2" t="s">
        <v>199</v>
      </c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 t="s">
        <v>243</v>
      </c>
      <c r="M365" s="67">
        <v>0</v>
      </c>
      <c r="N365" s="68">
        <v>0</v>
      </c>
      <c r="O365" s="2" t="s">
        <v>9</v>
      </c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 t="s">
        <v>244</v>
      </c>
      <c r="M366" s="67">
        <v>0.08</v>
      </c>
      <c r="N366" s="68">
        <v>0</v>
      </c>
      <c r="O366" s="2" t="s">
        <v>9</v>
      </c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 t="s">
        <v>245</v>
      </c>
      <c r="M367" s="67">
        <v>0.04</v>
      </c>
      <c r="N367" s="68">
        <v>0</v>
      </c>
      <c r="O367" s="2" t="s">
        <v>12</v>
      </c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 t="s">
        <v>246</v>
      </c>
      <c r="M368" s="67">
        <v>0.08</v>
      </c>
      <c r="N368" s="68">
        <v>0</v>
      </c>
      <c r="O368" s="2" t="s">
        <v>12</v>
      </c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 t="s">
        <v>247</v>
      </c>
      <c r="M369" s="67">
        <v>0</v>
      </c>
      <c r="N369" s="68">
        <v>0</v>
      </c>
      <c r="O369" s="2" t="s">
        <v>199</v>
      </c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 t="s">
        <v>248</v>
      </c>
      <c r="M370" s="67">
        <v>0</v>
      </c>
      <c r="N370" s="68">
        <v>0</v>
      </c>
      <c r="O370" s="2" t="s">
        <v>9</v>
      </c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 t="s">
        <v>249</v>
      </c>
      <c r="M371" s="67">
        <v>0</v>
      </c>
      <c r="N371" s="68">
        <v>0</v>
      </c>
      <c r="O371" s="2" t="s">
        <v>9</v>
      </c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 t="s">
        <v>199</v>
      </c>
      <c r="M372" s="67">
        <v>0</v>
      </c>
      <c r="N372" s="68">
        <v>0</v>
      </c>
      <c r="O372" s="2" t="s">
        <v>12</v>
      </c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 t="s">
        <v>494</v>
      </c>
      <c r="M373" s="67">
        <v>0</v>
      </c>
      <c r="N373" s="68">
        <v>0</v>
      </c>
      <c r="O373" s="2" t="s">
        <v>199</v>
      </c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 t="s">
        <v>250</v>
      </c>
      <c r="M374" s="67">
        <v>0.08</v>
      </c>
      <c r="N374" s="68">
        <v>0</v>
      </c>
      <c r="O374" s="2" t="s">
        <v>199</v>
      </c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 t="s">
        <v>251</v>
      </c>
      <c r="M375" s="67">
        <v>0.1025</v>
      </c>
      <c r="N375" s="68">
        <v>0</v>
      </c>
      <c r="O375" s="2" t="s">
        <v>9</v>
      </c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 t="s">
        <v>496</v>
      </c>
      <c r="M376" s="67">
        <v>0.10205</v>
      </c>
      <c r="N376" s="68">
        <v>0</v>
      </c>
      <c r="O376" s="2" t="s">
        <v>9</v>
      </c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 t="s">
        <v>252</v>
      </c>
      <c r="M377" s="67">
        <v>0.075</v>
      </c>
      <c r="N377" s="68">
        <v>0</v>
      </c>
      <c r="O377" s="2" t="s">
        <v>199</v>
      </c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 t="s">
        <v>461</v>
      </c>
      <c r="M378" s="67">
        <v>0.09</v>
      </c>
      <c r="N378" s="68">
        <v>513</v>
      </c>
      <c r="O378" s="2" t="s">
        <v>12</v>
      </c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 t="s">
        <v>462</v>
      </c>
      <c r="M379" s="67">
        <v>0.09</v>
      </c>
      <c r="N379" s="68">
        <v>513</v>
      </c>
      <c r="O379" s="2" t="s">
        <v>12</v>
      </c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 t="s">
        <v>463</v>
      </c>
      <c r="M380" s="67">
        <v>0.09</v>
      </c>
      <c r="N380" s="68">
        <v>513</v>
      </c>
      <c r="O380" s="2" t="s">
        <v>12</v>
      </c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 t="s">
        <v>464</v>
      </c>
      <c r="M381" s="67">
        <v>0.09</v>
      </c>
      <c r="N381" s="68">
        <v>513</v>
      </c>
      <c r="O381" s="2" t="s">
        <v>12</v>
      </c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 t="s">
        <v>465</v>
      </c>
      <c r="M382" s="67">
        <v>0.08</v>
      </c>
      <c r="N382" s="68">
        <v>513</v>
      </c>
      <c r="O382" s="2" t="s">
        <v>12</v>
      </c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 t="s">
        <v>466</v>
      </c>
      <c r="M383" s="67">
        <v>0.08</v>
      </c>
      <c r="N383" s="68">
        <v>513</v>
      </c>
      <c r="O383" s="2" t="s">
        <v>12</v>
      </c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 t="s">
        <v>467</v>
      </c>
      <c r="M384" s="67">
        <v>0.05</v>
      </c>
      <c r="N384" s="68">
        <v>513</v>
      </c>
      <c r="O384" s="2" t="s">
        <v>12</v>
      </c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 t="s">
        <v>253</v>
      </c>
      <c r="M385" s="67">
        <v>0.075</v>
      </c>
      <c r="N385" s="68">
        <v>0</v>
      </c>
      <c r="O385" s="2" t="s">
        <v>9</v>
      </c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 t="s">
        <v>468</v>
      </c>
      <c r="M386" s="67">
        <v>0.05</v>
      </c>
      <c r="N386" s="68">
        <v>513</v>
      </c>
      <c r="O386" s="2" t="s">
        <v>12</v>
      </c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 t="s">
        <v>469</v>
      </c>
      <c r="M387" s="67">
        <v>0.095</v>
      </c>
      <c r="N387" s="68">
        <v>513</v>
      </c>
      <c r="O387" s="2" t="s">
        <v>12</v>
      </c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 t="s">
        <v>470</v>
      </c>
      <c r="M388" s="67">
        <v>0.05</v>
      </c>
      <c r="N388" s="68">
        <v>513</v>
      </c>
      <c r="O388" s="2" t="s">
        <v>12</v>
      </c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 t="s">
        <v>471</v>
      </c>
      <c r="M389" s="67">
        <v>0.09</v>
      </c>
      <c r="N389" s="68">
        <v>513</v>
      </c>
      <c r="O389" s="2" t="s">
        <v>12</v>
      </c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 t="s">
        <v>254</v>
      </c>
      <c r="M390" s="67">
        <v>0.075</v>
      </c>
      <c r="N390" s="68">
        <v>0</v>
      </c>
      <c r="O390" s="2" t="s">
        <v>199</v>
      </c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 t="s">
        <v>255</v>
      </c>
      <c r="M391" s="67">
        <v>0.075</v>
      </c>
      <c r="N391" s="68">
        <v>0</v>
      </c>
      <c r="O391" s="2" t="s">
        <v>9</v>
      </c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 t="s">
        <v>472</v>
      </c>
      <c r="M392" s="67">
        <v>0.05</v>
      </c>
      <c r="N392" s="68">
        <v>513</v>
      </c>
      <c r="O392" s="2" t="s">
        <v>12</v>
      </c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 t="s">
        <v>554</v>
      </c>
      <c r="M393" s="76">
        <v>0.0375</v>
      </c>
      <c r="N393" s="76">
        <v>0</v>
      </c>
      <c r="O393" s="2" t="s">
        <v>199</v>
      </c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 t="s">
        <v>555</v>
      </c>
      <c r="M394" s="76">
        <v>0.0375</v>
      </c>
      <c r="N394" s="76">
        <v>0</v>
      </c>
      <c r="O394" s="2" t="s">
        <v>12</v>
      </c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 t="s">
        <v>556</v>
      </c>
      <c r="M395" s="76">
        <v>0.037500000000000006</v>
      </c>
      <c r="N395" s="76">
        <v>0</v>
      </c>
      <c r="O395" s="2" t="s">
        <v>12</v>
      </c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 t="s">
        <v>557</v>
      </c>
      <c r="M396" s="76">
        <v>0.095</v>
      </c>
      <c r="N396" s="77">
        <v>513</v>
      </c>
      <c r="O396" s="2" t="s">
        <v>12</v>
      </c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 t="s">
        <v>558</v>
      </c>
      <c r="M397" s="76">
        <v>0.01</v>
      </c>
      <c r="N397" s="77">
        <v>317</v>
      </c>
      <c r="O397" s="2" t="s">
        <v>9</v>
      </c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 t="s">
        <v>559</v>
      </c>
      <c r="M398" s="76">
        <v>0.08</v>
      </c>
      <c r="N398" s="77">
        <v>513</v>
      </c>
      <c r="O398" s="2" t="s">
        <v>12</v>
      </c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 t="s">
        <v>560</v>
      </c>
      <c r="M399" s="76">
        <v>0.085</v>
      </c>
      <c r="N399" s="77">
        <v>513</v>
      </c>
      <c r="O399" s="2" t="s">
        <v>12</v>
      </c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 t="s">
        <v>561</v>
      </c>
      <c r="M400" s="76">
        <v>0.085</v>
      </c>
      <c r="N400" s="77">
        <v>513</v>
      </c>
      <c r="O400" s="2" t="s">
        <v>12</v>
      </c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 t="s">
        <v>562</v>
      </c>
      <c r="M401" s="76">
        <v>0.085</v>
      </c>
      <c r="N401" s="77">
        <v>513</v>
      </c>
      <c r="O401" s="2" t="s">
        <v>12</v>
      </c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 t="s">
        <v>563</v>
      </c>
      <c r="M402" s="76">
        <v>0.0875</v>
      </c>
      <c r="N402" s="77">
        <v>513</v>
      </c>
      <c r="O402" s="2" t="s">
        <v>12</v>
      </c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 t="s">
        <v>564</v>
      </c>
      <c r="M403" s="76">
        <v>0.085</v>
      </c>
      <c r="N403" s="77">
        <v>513</v>
      </c>
      <c r="O403" s="2" t="s">
        <v>12</v>
      </c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 t="s">
        <v>565</v>
      </c>
      <c r="M404" s="76">
        <v>0.085</v>
      </c>
      <c r="N404" s="77">
        <v>513</v>
      </c>
      <c r="O404" s="2" t="s">
        <v>12</v>
      </c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 t="s">
        <v>566</v>
      </c>
      <c r="M405" s="76">
        <v>0.085</v>
      </c>
      <c r="N405" s="77">
        <v>513</v>
      </c>
      <c r="O405" s="2" t="s">
        <v>12</v>
      </c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 t="s">
        <v>567</v>
      </c>
      <c r="M406" s="76">
        <v>0.085</v>
      </c>
      <c r="N406" s="77">
        <v>513</v>
      </c>
      <c r="O406" s="2" t="s">
        <v>12</v>
      </c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 t="s">
        <v>568</v>
      </c>
      <c r="M407" s="76">
        <v>0.037500000000000006</v>
      </c>
      <c r="N407" s="77">
        <v>0</v>
      </c>
      <c r="O407" s="2" t="s">
        <v>9</v>
      </c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 t="s">
        <v>569</v>
      </c>
      <c r="M408" s="76">
        <v>0</v>
      </c>
      <c r="N408" s="77">
        <v>0</v>
      </c>
      <c r="O408" s="2" t="s">
        <v>199</v>
      </c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 t="s">
        <v>570</v>
      </c>
      <c r="M409" s="76">
        <v>0.11000000000000001</v>
      </c>
      <c r="N409" s="77">
        <v>317</v>
      </c>
      <c r="O409" s="2" t="s">
        <v>9</v>
      </c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 t="s">
        <v>571</v>
      </c>
      <c r="M410" s="76">
        <v>0.11000000000000001</v>
      </c>
      <c r="N410" s="77">
        <v>317</v>
      </c>
      <c r="O410" s="2" t="s">
        <v>199</v>
      </c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 t="s">
        <v>572</v>
      </c>
      <c r="M411" s="76">
        <v>0.11000000000000001</v>
      </c>
      <c r="N411" s="77">
        <v>317</v>
      </c>
      <c r="O411" s="2" t="s">
        <v>9</v>
      </c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 t="s">
        <v>573</v>
      </c>
      <c r="M412" s="76">
        <v>0.11000000000000001</v>
      </c>
      <c r="N412" s="77">
        <v>317</v>
      </c>
      <c r="O412" s="2" t="s">
        <v>9</v>
      </c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 t="s">
        <v>574</v>
      </c>
      <c r="M413" s="76">
        <v>0.11000000000000001</v>
      </c>
      <c r="N413" s="77">
        <v>317</v>
      </c>
      <c r="O413" s="2" t="s">
        <v>199</v>
      </c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 t="s">
        <v>575</v>
      </c>
      <c r="M414" s="76">
        <v>0.11000000000000001</v>
      </c>
      <c r="N414" s="77">
        <v>317</v>
      </c>
      <c r="O414" s="2" t="s">
        <v>9</v>
      </c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 t="s">
        <v>576</v>
      </c>
      <c r="M415" s="76">
        <v>0.11000000000000001</v>
      </c>
      <c r="N415" s="77">
        <v>317</v>
      </c>
      <c r="O415" s="2" t="s">
        <v>199</v>
      </c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 t="s">
        <v>577</v>
      </c>
      <c r="M416" s="76">
        <v>0.11000000000000001</v>
      </c>
      <c r="N416" s="77">
        <v>317</v>
      </c>
      <c r="O416" s="2" t="s">
        <v>199</v>
      </c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 t="s">
        <v>578</v>
      </c>
      <c r="M417" s="76">
        <v>0.11000000000000001</v>
      </c>
      <c r="N417" s="77">
        <v>317</v>
      </c>
      <c r="O417" s="2" t="s">
        <v>9</v>
      </c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 t="s">
        <v>579</v>
      </c>
      <c r="M418" s="76">
        <v>0.11000000000000001</v>
      </c>
      <c r="N418" s="77">
        <v>317</v>
      </c>
      <c r="O418" s="2" t="s">
        <v>9</v>
      </c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 t="s">
        <v>580</v>
      </c>
      <c r="M419" s="76">
        <v>0.11000000000000001</v>
      </c>
      <c r="N419" s="77">
        <v>317</v>
      </c>
      <c r="O419" s="2" t="s">
        <v>199</v>
      </c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 t="s">
        <v>581</v>
      </c>
      <c r="M420" s="76">
        <v>0.11000000000000001</v>
      </c>
      <c r="N420" s="77">
        <v>317</v>
      </c>
      <c r="O420" s="2" t="s">
        <v>9</v>
      </c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 t="s">
        <v>582</v>
      </c>
      <c r="M421" s="76">
        <v>0.10500000000000001</v>
      </c>
      <c r="N421" s="77">
        <v>317</v>
      </c>
      <c r="O421" s="2" t="s">
        <v>199</v>
      </c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 t="s">
        <v>583</v>
      </c>
      <c r="M422" s="76">
        <v>0.11000000000000001</v>
      </c>
      <c r="N422" s="77">
        <v>317</v>
      </c>
      <c r="O422" s="2" t="s">
        <v>199</v>
      </c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 t="s">
        <v>584</v>
      </c>
      <c r="M423" s="76">
        <v>0.11000000000000001</v>
      </c>
      <c r="N423" s="77">
        <v>317</v>
      </c>
      <c r="O423" s="2" t="s">
        <v>9</v>
      </c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 t="s">
        <v>585</v>
      </c>
      <c r="M424" s="76">
        <v>0.11000000000000001</v>
      </c>
      <c r="N424" s="77">
        <v>317</v>
      </c>
      <c r="O424" s="2" t="s">
        <v>199</v>
      </c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 t="s">
        <v>586</v>
      </c>
      <c r="M425" s="76">
        <v>0.11000000000000001</v>
      </c>
      <c r="N425" s="77">
        <v>317</v>
      </c>
      <c r="O425" s="2" t="s">
        <v>9</v>
      </c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 t="s">
        <v>587</v>
      </c>
      <c r="M426" s="76">
        <v>0.11000000000000001</v>
      </c>
      <c r="N426" s="77">
        <v>317</v>
      </c>
      <c r="O426" s="2" t="s">
        <v>199</v>
      </c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 t="s">
        <v>588</v>
      </c>
      <c r="M427" s="76">
        <v>0.11000000000000001</v>
      </c>
      <c r="N427" s="77">
        <v>317</v>
      </c>
      <c r="O427" s="2" t="s">
        <v>9</v>
      </c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 t="s">
        <v>589</v>
      </c>
      <c r="M428" s="76">
        <v>0.135</v>
      </c>
      <c r="N428" s="77">
        <v>317</v>
      </c>
      <c r="O428" s="2" t="s">
        <v>199</v>
      </c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 t="s">
        <v>590</v>
      </c>
      <c r="M429" s="76">
        <v>0.135</v>
      </c>
      <c r="N429" s="77">
        <v>317</v>
      </c>
      <c r="O429" s="2" t="s">
        <v>9</v>
      </c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 t="s">
        <v>591</v>
      </c>
      <c r="M430" s="76">
        <v>0.08</v>
      </c>
      <c r="N430" s="77">
        <v>513</v>
      </c>
      <c r="O430" s="2" t="s">
        <v>12</v>
      </c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 t="s">
        <v>592</v>
      </c>
      <c r="M431" s="76">
        <v>0.125</v>
      </c>
      <c r="N431" s="77">
        <v>513</v>
      </c>
      <c r="O431" s="2" t="s">
        <v>12</v>
      </c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 t="s">
        <v>593</v>
      </c>
      <c r="M432" s="76">
        <v>0.08</v>
      </c>
      <c r="N432" s="77">
        <v>513</v>
      </c>
      <c r="O432" s="2" t="s">
        <v>12</v>
      </c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 t="s">
        <v>594</v>
      </c>
      <c r="M433" s="76">
        <v>0.11000000000000001</v>
      </c>
      <c r="N433" s="77">
        <v>317</v>
      </c>
      <c r="O433" s="2" t="s">
        <v>199</v>
      </c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 t="s">
        <v>595</v>
      </c>
      <c r="M434" s="76">
        <v>0.11000000000000001</v>
      </c>
      <c r="N434" s="77">
        <v>317</v>
      </c>
      <c r="O434" s="2" t="s">
        <v>9</v>
      </c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 t="s">
        <v>596</v>
      </c>
      <c r="M435" s="76">
        <v>0.1</v>
      </c>
      <c r="N435" s="77">
        <v>513</v>
      </c>
      <c r="O435" s="2" t="s">
        <v>12</v>
      </c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 t="s">
        <v>597</v>
      </c>
      <c r="M436" s="76">
        <v>0.1</v>
      </c>
      <c r="N436" s="77">
        <v>513</v>
      </c>
      <c r="O436" s="2" t="s">
        <v>12</v>
      </c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 t="s">
        <v>598</v>
      </c>
      <c r="M437" s="76">
        <v>0.1</v>
      </c>
      <c r="N437" s="77">
        <v>513</v>
      </c>
      <c r="O437" s="2" t="s">
        <v>12</v>
      </c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 t="s">
        <v>599</v>
      </c>
      <c r="M438" s="76">
        <v>0.1</v>
      </c>
      <c r="N438" s="77">
        <v>513</v>
      </c>
      <c r="O438" s="2" t="s">
        <v>12</v>
      </c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 t="s">
        <v>600</v>
      </c>
      <c r="M439" s="76">
        <v>0.1</v>
      </c>
      <c r="N439" s="77">
        <v>513</v>
      </c>
      <c r="O439" s="2" t="s">
        <v>12</v>
      </c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 t="s">
        <v>601</v>
      </c>
      <c r="M440" s="76">
        <v>0.1</v>
      </c>
      <c r="N440" s="77">
        <v>513</v>
      </c>
      <c r="O440" s="2" t="s">
        <v>12</v>
      </c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 t="s">
        <v>602</v>
      </c>
      <c r="M441" s="76">
        <v>0.08</v>
      </c>
      <c r="N441" s="77">
        <v>513</v>
      </c>
      <c r="O441" s="2" t="s">
        <v>12</v>
      </c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 t="s">
        <v>603</v>
      </c>
      <c r="M442" s="76">
        <v>0.1</v>
      </c>
      <c r="N442" s="77">
        <v>513</v>
      </c>
      <c r="O442" s="2" t="s">
        <v>12</v>
      </c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 t="s">
        <v>604</v>
      </c>
      <c r="M443" s="76">
        <v>0.09000000000000001</v>
      </c>
      <c r="N443" s="77">
        <v>317</v>
      </c>
      <c r="O443" s="2" t="s">
        <v>199</v>
      </c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 t="s">
        <v>605</v>
      </c>
      <c r="M444" s="76">
        <v>0.1</v>
      </c>
      <c r="N444" s="77">
        <v>513</v>
      </c>
      <c r="O444" s="2" t="s">
        <v>12</v>
      </c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 t="s">
        <v>606</v>
      </c>
      <c r="M445" s="76">
        <v>0.08</v>
      </c>
      <c r="N445" s="77">
        <v>513</v>
      </c>
      <c r="O445" s="2" t="s">
        <v>12</v>
      </c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 t="s">
        <v>607</v>
      </c>
      <c r="M446" s="76">
        <v>0.125</v>
      </c>
      <c r="N446" s="77">
        <v>513</v>
      </c>
      <c r="O446" s="2" t="s">
        <v>12</v>
      </c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 t="s">
        <v>608</v>
      </c>
      <c r="M447" s="76">
        <v>0.08</v>
      </c>
      <c r="N447" s="77">
        <v>513</v>
      </c>
      <c r="O447" s="2" t="s">
        <v>12</v>
      </c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 t="s">
        <v>609</v>
      </c>
      <c r="M448" s="76">
        <v>0.1</v>
      </c>
      <c r="N448" s="77">
        <v>317</v>
      </c>
      <c r="O448" s="2" t="s">
        <v>199</v>
      </c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 t="s">
        <v>610</v>
      </c>
      <c r="M449" s="76">
        <v>0.08</v>
      </c>
      <c r="N449" s="77">
        <v>513</v>
      </c>
      <c r="O449" s="2" t="s">
        <v>12</v>
      </c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 t="s">
        <v>611</v>
      </c>
      <c r="M450" s="76">
        <v>0.09000000000000001</v>
      </c>
      <c r="N450" s="77">
        <v>317</v>
      </c>
      <c r="O450" s="2" t="s">
        <v>199</v>
      </c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 t="s">
        <v>612</v>
      </c>
      <c r="M451" s="76">
        <v>0.09000000000000001</v>
      </c>
      <c r="N451" s="77">
        <v>317</v>
      </c>
      <c r="O451" s="2" t="s">
        <v>9</v>
      </c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 t="s">
        <v>613</v>
      </c>
      <c r="M452" s="76">
        <v>0.09000000000000001</v>
      </c>
      <c r="N452" s="77">
        <v>513</v>
      </c>
      <c r="O452" s="2" t="s">
        <v>12</v>
      </c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 t="s">
        <v>614</v>
      </c>
      <c r="M453" s="76">
        <v>0.10500000000000001</v>
      </c>
      <c r="N453" s="77">
        <v>317</v>
      </c>
      <c r="O453" s="2" t="s">
        <v>199</v>
      </c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 t="s">
        <v>615</v>
      </c>
      <c r="M454" s="76">
        <v>0.115</v>
      </c>
      <c r="N454" s="77">
        <v>513</v>
      </c>
      <c r="O454" s="2" t="s">
        <v>9</v>
      </c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 t="s">
        <v>616</v>
      </c>
      <c r="M455" s="76">
        <v>0.13</v>
      </c>
      <c r="N455" s="77">
        <v>863</v>
      </c>
      <c r="O455" s="2" t="s">
        <v>199</v>
      </c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 t="s">
        <v>617</v>
      </c>
      <c r="M456" s="76">
        <v>0.13</v>
      </c>
      <c r="N456" s="77">
        <v>863</v>
      </c>
      <c r="O456" s="2" t="s">
        <v>9</v>
      </c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 t="s">
        <v>618</v>
      </c>
      <c r="M457" s="76">
        <v>0.13</v>
      </c>
      <c r="N457" s="77">
        <v>863</v>
      </c>
      <c r="O457" s="2" t="s">
        <v>199</v>
      </c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 t="s">
        <v>619</v>
      </c>
      <c r="M458" s="76">
        <v>0.13</v>
      </c>
      <c r="N458" s="77">
        <v>863</v>
      </c>
      <c r="O458" s="2" t="s">
        <v>9</v>
      </c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 t="s">
        <v>620</v>
      </c>
      <c r="M459" s="76">
        <v>0.13</v>
      </c>
      <c r="N459" s="77">
        <v>863</v>
      </c>
      <c r="O459" s="2" t="s">
        <v>199</v>
      </c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 t="s">
        <v>621</v>
      </c>
      <c r="M460" s="76">
        <v>0.13</v>
      </c>
      <c r="N460" s="77">
        <v>863</v>
      </c>
      <c r="O460" s="2" t="s">
        <v>9</v>
      </c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 t="s">
        <v>622</v>
      </c>
      <c r="M461" s="76">
        <v>0.13</v>
      </c>
      <c r="N461" s="77">
        <v>863</v>
      </c>
      <c r="O461" s="2" t="s">
        <v>9</v>
      </c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 t="s">
        <v>623</v>
      </c>
      <c r="M462" s="76">
        <v>0.125</v>
      </c>
      <c r="N462" s="77">
        <v>863</v>
      </c>
      <c r="O462" s="2" t="s">
        <v>199</v>
      </c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 t="s">
        <v>624</v>
      </c>
      <c r="M463" s="76">
        <v>0.13</v>
      </c>
      <c r="N463" s="77">
        <v>863</v>
      </c>
      <c r="O463" s="2" t="s">
        <v>9</v>
      </c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 t="s">
        <v>625</v>
      </c>
      <c r="M464" s="76">
        <v>0.125</v>
      </c>
      <c r="N464" s="77">
        <v>863</v>
      </c>
      <c r="O464" s="2" t="s">
        <v>9</v>
      </c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 t="s">
        <v>626</v>
      </c>
      <c r="M465" s="76">
        <v>0.13</v>
      </c>
      <c r="N465" s="77">
        <v>513</v>
      </c>
      <c r="O465" s="2" t="s">
        <v>9</v>
      </c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 t="s">
        <v>627</v>
      </c>
      <c r="M466" s="76">
        <v>0.10500000000000001</v>
      </c>
      <c r="N466" s="77">
        <v>317</v>
      </c>
      <c r="O466" s="2" t="s">
        <v>199</v>
      </c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 t="s">
        <v>628</v>
      </c>
      <c r="M467" s="76">
        <v>0.037500000000000006</v>
      </c>
      <c r="N467" s="77">
        <v>0</v>
      </c>
      <c r="O467" s="2" t="s">
        <v>12</v>
      </c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 t="s">
        <v>629</v>
      </c>
      <c r="M468" s="76">
        <v>0.060000000000000005</v>
      </c>
      <c r="N468" s="77">
        <v>317</v>
      </c>
      <c r="O468" s="2" t="s">
        <v>9</v>
      </c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 t="s">
        <v>630</v>
      </c>
      <c r="M469" s="76">
        <v>0.037500000000000006</v>
      </c>
      <c r="N469" s="77">
        <v>0</v>
      </c>
      <c r="O469" s="2" t="s">
        <v>12</v>
      </c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 t="s">
        <v>631</v>
      </c>
      <c r="M470" s="76">
        <v>0.08</v>
      </c>
      <c r="N470" s="77">
        <v>513</v>
      </c>
      <c r="O470" s="2" t="s">
        <v>12</v>
      </c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 t="s">
        <v>632</v>
      </c>
      <c r="M471" s="76">
        <v>0.037500000000000006</v>
      </c>
      <c r="N471" s="77">
        <v>0</v>
      </c>
      <c r="O471" s="2" t="s">
        <v>12</v>
      </c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 t="s">
        <v>633</v>
      </c>
      <c r="M472" s="76">
        <v>0.060000000000000005</v>
      </c>
      <c r="N472" s="77">
        <v>317</v>
      </c>
      <c r="O472" s="2" t="s">
        <v>9</v>
      </c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 t="s">
        <v>634</v>
      </c>
      <c r="M473" s="76">
        <v>0.09000000000000001</v>
      </c>
      <c r="N473" s="77">
        <v>513</v>
      </c>
      <c r="O473" s="2" t="s">
        <v>12</v>
      </c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 t="s">
        <v>635</v>
      </c>
      <c r="M474" s="76">
        <v>0.08</v>
      </c>
      <c r="N474" s="77">
        <v>513</v>
      </c>
      <c r="O474" s="2" t="s">
        <v>12</v>
      </c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 t="s">
        <v>636</v>
      </c>
      <c r="M475" s="76">
        <v>0.08</v>
      </c>
      <c r="N475" s="77">
        <v>513</v>
      </c>
      <c r="O475" s="2" t="s">
        <v>12</v>
      </c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 t="s">
        <v>637</v>
      </c>
      <c r="M476" s="76">
        <v>0.037500000000000006</v>
      </c>
      <c r="N476" s="77">
        <v>0</v>
      </c>
      <c r="O476" s="2" t="s">
        <v>12</v>
      </c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 t="s">
        <v>638</v>
      </c>
      <c r="M477" s="76">
        <v>0.037500000000000006</v>
      </c>
      <c r="N477" s="77">
        <v>0</v>
      </c>
      <c r="O477" s="2" t="s">
        <v>12</v>
      </c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 t="s">
        <v>639</v>
      </c>
      <c r="M478" s="76">
        <v>0.09000000000000001</v>
      </c>
      <c r="N478" s="77">
        <v>513</v>
      </c>
      <c r="O478" s="2" t="s">
        <v>12</v>
      </c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 t="s">
        <v>640</v>
      </c>
      <c r="M479" s="76">
        <v>0.09000000000000001</v>
      </c>
      <c r="N479" s="77">
        <v>513</v>
      </c>
      <c r="O479" s="2" t="s">
        <v>12</v>
      </c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 t="s">
        <v>641</v>
      </c>
      <c r="M480" s="76">
        <v>0.08</v>
      </c>
      <c r="N480" s="77">
        <v>513</v>
      </c>
      <c r="O480" s="2" t="s">
        <v>12</v>
      </c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 t="s">
        <v>642</v>
      </c>
      <c r="M481" s="76">
        <v>0.08</v>
      </c>
      <c r="N481" s="77">
        <v>513</v>
      </c>
      <c r="O481" s="2" t="s">
        <v>12</v>
      </c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 t="s">
        <v>643</v>
      </c>
      <c r="M482" s="76">
        <v>0.037500000000000006</v>
      </c>
      <c r="N482" s="77">
        <v>0</v>
      </c>
      <c r="O482" s="2" t="s">
        <v>12</v>
      </c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 t="s">
        <v>644</v>
      </c>
      <c r="M483" s="76">
        <v>0.037500000000000006</v>
      </c>
      <c r="N483" s="77">
        <v>0</v>
      </c>
      <c r="O483" s="2" t="s">
        <v>12</v>
      </c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 t="s">
        <v>645</v>
      </c>
      <c r="M484" s="76">
        <v>0.1</v>
      </c>
      <c r="N484" s="77">
        <v>513</v>
      </c>
      <c r="O484" s="2" t="s">
        <v>12</v>
      </c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 t="s">
        <v>646</v>
      </c>
      <c r="M485" s="76">
        <v>0.08</v>
      </c>
      <c r="N485" s="77">
        <v>513</v>
      </c>
      <c r="O485" s="2" t="s">
        <v>12</v>
      </c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 t="s">
        <v>647</v>
      </c>
      <c r="M486" s="76">
        <v>0.1</v>
      </c>
      <c r="N486" s="77">
        <v>513</v>
      </c>
      <c r="O486" s="2" t="s">
        <v>12</v>
      </c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 t="s">
        <v>648</v>
      </c>
      <c r="M487" s="76">
        <v>0.05</v>
      </c>
      <c r="N487" s="77">
        <v>513</v>
      </c>
      <c r="O487" s="2" t="s">
        <v>12</v>
      </c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 t="s">
        <v>649</v>
      </c>
      <c r="M488" s="76">
        <v>0.037500000000000006</v>
      </c>
      <c r="N488" s="77">
        <v>0</v>
      </c>
      <c r="O488" s="2" t="s">
        <v>12</v>
      </c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 t="s">
        <v>650</v>
      </c>
      <c r="M489" s="76">
        <v>0.13</v>
      </c>
      <c r="N489" s="77">
        <v>863</v>
      </c>
      <c r="O489" s="2" t="s">
        <v>199</v>
      </c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 t="s">
        <v>651</v>
      </c>
      <c r="M490" s="76">
        <v>0.14</v>
      </c>
      <c r="N490" s="77">
        <v>863</v>
      </c>
      <c r="O490" s="2" t="s">
        <v>9</v>
      </c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 t="s">
        <v>652</v>
      </c>
      <c r="M491" s="76">
        <v>0.13</v>
      </c>
      <c r="N491" s="77">
        <v>513</v>
      </c>
      <c r="O491" s="2" t="s">
        <v>199</v>
      </c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 t="s">
        <v>653</v>
      </c>
      <c r="M492" s="76">
        <v>0.13</v>
      </c>
      <c r="N492" s="77">
        <v>513</v>
      </c>
      <c r="O492" s="2" t="s">
        <v>9</v>
      </c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 t="s">
        <v>654</v>
      </c>
      <c r="M493" s="76">
        <v>0.13</v>
      </c>
      <c r="N493" s="77">
        <v>513</v>
      </c>
      <c r="O493" s="2" t="s">
        <v>199</v>
      </c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 t="s">
        <v>655</v>
      </c>
      <c r="M494" s="76">
        <v>0.13</v>
      </c>
      <c r="N494" s="77">
        <v>513</v>
      </c>
      <c r="O494" s="2" t="s">
        <v>9</v>
      </c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 t="s">
        <v>656</v>
      </c>
      <c r="M495" s="76">
        <v>0.13</v>
      </c>
      <c r="N495" s="77">
        <v>513</v>
      </c>
      <c r="O495" s="2" t="s">
        <v>199</v>
      </c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 t="s">
        <v>657</v>
      </c>
      <c r="M496" s="76">
        <v>0.13</v>
      </c>
      <c r="N496" s="77">
        <v>513</v>
      </c>
      <c r="O496" s="2" t="s">
        <v>9</v>
      </c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 t="s">
        <v>658</v>
      </c>
      <c r="M497" s="76">
        <v>0.13</v>
      </c>
      <c r="N497" s="77">
        <v>863</v>
      </c>
      <c r="O497" s="2" t="s">
        <v>199</v>
      </c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 t="s">
        <v>659</v>
      </c>
      <c r="M498" s="76">
        <v>0.13</v>
      </c>
      <c r="N498" s="77">
        <v>863</v>
      </c>
      <c r="O498" s="2" t="s">
        <v>9</v>
      </c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 t="s">
        <v>837</v>
      </c>
      <c r="M499" s="76">
        <v>0.14</v>
      </c>
      <c r="N499" s="77">
        <v>513</v>
      </c>
      <c r="O499" s="2" t="s">
        <v>9</v>
      </c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 t="s">
        <v>838</v>
      </c>
      <c r="M500" s="76">
        <v>0.14</v>
      </c>
      <c r="N500" s="77">
        <v>513</v>
      </c>
      <c r="O500" s="2" t="s">
        <v>199</v>
      </c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 t="s">
        <v>660</v>
      </c>
      <c r="M501" s="76">
        <v>0.13</v>
      </c>
      <c r="N501" s="77">
        <v>513</v>
      </c>
      <c r="O501" s="2" t="s">
        <v>9</v>
      </c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 t="s">
        <v>661</v>
      </c>
      <c r="M502" s="76">
        <v>0.13</v>
      </c>
      <c r="N502" s="77">
        <v>863</v>
      </c>
      <c r="O502" s="2" t="s">
        <v>9</v>
      </c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 t="s">
        <v>662</v>
      </c>
      <c r="M503" s="76">
        <v>0.115</v>
      </c>
      <c r="N503" s="77">
        <v>863</v>
      </c>
      <c r="O503" s="2" t="s">
        <v>9</v>
      </c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 t="s">
        <v>663</v>
      </c>
      <c r="M504" s="76">
        <v>0.115</v>
      </c>
      <c r="N504" s="77">
        <v>863</v>
      </c>
      <c r="O504" s="2" t="s">
        <v>199</v>
      </c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 t="s">
        <v>664</v>
      </c>
      <c r="M505" s="76">
        <v>0.115</v>
      </c>
      <c r="N505" s="77">
        <v>317</v>
      </c>
      <c r="O505" s="2" t="s">
        <v>9</v>
      </c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 t="s">
        <v>665</v>
      </c>
      <c r="M506" s="76">
        <v>0.11000000000000001</v>
      </c>
      <c r="N506" s="77">
        <v>317</v>
      </c>
      <c r="O506" s="2" t="s">
        <v>9</v>
      </c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 t="s">
        <v>666</v>
      </c>
      <c r="M507" s="76">
        <v>0.11000000000000001</v>
      </c>
      <c r="N507" s="77">
        <v>317</v>
      </c>
      <c r="O507" s="2" t="s">
        <v>9</v>
      </c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 t="s">
        <v>667</v>
      </c>
      <c r="M508" s="76">
        <v>0.11000000000000001</v>
      </c>
      <c r="N508" s="77">
        <v>317</v>
      </c>
      <c r="O508" s="2" t="s">
        <v>199</v>
      </c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 t="s">
        <v>668</v>
      </c>
      <c r="M509" s="76">
        <v>0.08</v>
      </c>
      <c r="N509" s="77">
        <v>863</v>
      </c>
      <c r="O509" s="2" t="s">
        <v>199</v>
      </c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 t="s">
        <v>669</v>
      </c>
      <c r="M510" s="76">
        <v>0.135</v>
      </c>
      <c r="N510" s="77">
        <v>863</v>
      </c>
      <c r="O510" s="2" t="s">
        <v>9</v>
      </c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 t="s">
        <v>670</v>
      </c>
      <c r="M511" s="76">
        <v>0.135</v>
      </c>
      <c r="N511" s="77">
        <v>317</v>
      </c>
      <c r="O511" s="2" t="s">
        <v>199</v>
      </c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 t="s">
        <v>671</v>
      </c>
      <c r="M512" s="76">
        <v>0.135</v>
      </c>
      <c r="N512" s="77">
        <v>317</v>
      </c>
      <c r="O512" s="2" t="s">
        <v>9</v>
      </c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 t="s">
        <v>672</v>
      </c>
      <c r="M513" s="76">
        <v>0.115</v>
      </c>
      <c r="N513" s="77">
        <v>317</v>
      </c>
      <c r="O513" s="2" t="s">
        <v>9</v>
      </c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 t="s">
        <v>673</v>
      </c>
      <c r="M514" s="76">
        <v>0.115</v>
      </c>
      <c r="N514" s="77">
        <v>317</v>
      </c>
      <c r="O514" s="2" t="s">
        <v>199</v>
      </c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 t="s">
        <v>674</v>
      </c>
      <c r="M515" s="76">
        <v>0.115</v>
      </c>
      <c r="N515" s="77">
        <v>317</v>
      </c>
      <c r="O515" s="2" t="s">
        <v>9</v>
      </c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 t="s">
        <v>675</v>
      </c>
      <c r="M516" s="76">
        <v>0.115</v>
      </c>
      <c r="N516" s="77">
        <v>317</v>
      </c>
      <c r="O516" s="2" t="s">
        <v>9</v>
      </c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 t="s">
        <v>676</v>
      </c>
      <c r="M517" s="76">
        <v>0.115</v>
      </c>
      <c r="N517" s="77">
        <v>317</v>
      </c>
      <c r="O517" s="2" t="s">
        <v>9</v>
      </c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 t="s">
        <v>677</v>
      </c>
      <c r="M518" s="76">
        <v>0.115</v>
      </c>
      <c r="N518" s="77">
        <v>317</v>
      </c>
      <c r="O518" s="2" t="s">
        <v>199</v>
      </c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 t="s">
        <v>678</v>
      </c>
      <c r="M519" s="76">
        <v>0.115</v>
      </c>
      <c r="N519" s="77">
        <v>317</v>
      </c>
      <c r="O519" s="2" t="s">
        <v>9</v>
      </c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 t="s">
        <v>679</v>
      </c>
      <c r="M520" s="76">
        <v>0.115</v>
      </c>
      <c r="N520" s="77">
        <v>317</v>
      </c>
      <c r="O520" s="2" t="s">
        <v>199</v>
      </c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 t="s">
        <v>680</v>
      </c>
      <c r="M521" s="76">
        <v>0.115</v>
      </c>
      <c r="N521" s="77">
        <v>317</v>
      </c>
      <c r="O521" s="2" t="s">
        <v>9</v>
      </c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 t="s">
        <v>681</v>
      </c>
      <c r="M522" s="76">
        <v>0.115</v>
      </c>
      <c r="N522" s="77">
        <v>317</v>
      </c>
      <c r="O522" s="2" t="s">
        <v>9</v>
      </c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 t="s">
        <v>682</v>
      </c>
      <c r="M523" s="76">
        <v>0.115</v>
      </c>
      <c r="N523" s="77">
        <v>317</v>
      </c>
      <c r="O523" s="2" t="s">
        <v>9</v>
      </c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 t="s">
        <v>683</v>
      </c>
      <c r="M524" s="76">
        <v>0.115</v>
      </c>
      <c r="N524" s="77">
        <v>317</v>
      </c>
      <c r="O524" s="2" t="s">
        <v>9</v>
      </c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 t="s">
        <v>684</v>
      </c>
      <c r="M525" s="76">
        <v>0</v>
      </c>
      <c r="N525" s="77">
        <v>0</v>
      </c>
      <c r="O525" s="2" t="s">
        <v>199</v>
      </c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 t="s">
        <v>685</v>
      </c>
      <c r="M526" s="76">
        <v>0.037500000000000006</v>
      </c>
      <c r="N526" s="77">
        <v>0</v>
      </c>
      <c r="O526" s="2" t="s">
        <v>12</v>
      </c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 t="s">
        <v>686</v>
      </c>
      <c r="M527" s="76">
        <v>0.037500000000000006</v>
      </c>
      <c r="N527" s="77">
        <v>0</v>
      </c>
      <c r="O527" s="2" t="s">
        <v>12</v>
      </c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 t="s">
        <v>687</v>
      </c>
      <c r="M528" s="76">
        <v>0.01</v>
      </c>
      <c r="N528" s="77">
        <v>317</v>
      </c>
      <c r="O528" s="2" t="s">
        <v>9</v>
      </c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 t="s">
        <v>688</v>
      </c>
      <c r="M529" s="76">
        <v>0.015000000000000001</v>
      </c>
      <c r="N529" s="77">
        <v>0</v>
      </c>
      <c r="O529" s="2" t="s">
        <v>9</v>
      </c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 t="s">
        <v>689</v>
      </c>
      <c r="M530" s="76">
        <v>0.09000000000000001</v>
      </c>
      <c r="N530" s="77">
        <v>513</v>
      </c>
      <c r="O530" s="2" t="s">
        <v>12</v>
      </c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 t="s">
        <v>690</v>
      </c>
      <c r="M531" s="76">
        <v>0.09000000000000001</v>
      </c>
      <c r="N531" s="77">
        <v>513</v>
      </c>
      <c r="O531" s="2" t="s">
        <v>12</v>
      </c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 t="s">
        <v>691</v>
      </c>
      <c r="M532" s="76">
        <v>0.09000000000000001</v>
      </c>
      <c r="N532" s="77">
        <v>513</v>
      </c>
      <c r="O532" s="2" t="s">
        <v>12</v>
      </c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 t="s">
        <v>692</v>
      </c>
      <c r="M533" s="76">
        <v>0.037500000000000006</v>
      </c>
      <c r="N533" s="77">
        <v>0</v>
      </c>
      <c r="O533" s="2" t="s">
        <v>12</v>
      </c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 t="s">
        <v>693</v>
      </c>
      <c r="M534" s="76">
        <v>0.11000000000000001</v>
      </c>
      <c r="N534" s="77">
        <v>317</v>
      </c>
      <c r="O534" s="2" t="s">
        <v>199</v>
      </c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 t="s">
        <v>694</v>
      </c>
      <c r="M535" s="76">
        <v>0.11000000000000001</v>
      </c>
      <c r="N535" s="77">
        <v>317</v>
      </c>
      <c r="O535" s="2" t="s">
        <v>9</v>
      </c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 t="s">
        <v>695</v>
      </c>
      <c r="M536" s="76">
        <v>0.1</v>
      </c>
      <c r="N536" s="77">
        <v>513</v>
      </c>
      <c r="O536" s="2" t="s">
        <v>12</v>
      </c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 t="s">
        <v>696</v>
      </c>
      <c r="M537" s="76">
        <v>0.11000000000000001</v>
      </c>
      <c r="N537" s="77">
        <v>317</v>
      </c>
      <c r="O537" s="2" t="s">
        <v>199</v>
      </c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 t="s">
        <v>697</v>
      </c>
      <c r="M538" s="76">
        <v>0.11000000000000001</v>
      </c>
      <c r="N538" s="77">
        <v>317</v>
      </c>
      <c r="O538" s="2" t="s">
        <v>9</v>
      </c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 t="s">
        <v>698</v>
      </c>
      <c r="M539" s="76">
        <v>0.1</v>
      </c>
      <c r="N539" s="77">
        <v>513</v>
      </c>
      <c r="O539" s="2" t="s">
        <v>12</v>
      </c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 t="s">
        <v>699</v>
      </c>
      <c r="M540" s="76">
        <v>0.1</v>
      </c>
      <c r="N540" s="77">
        <v>513</v>
      </c>
      <c r="O540" s="2" t="s">
        <v>12</v>
      </c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 t="s">
        <v>700</v>
      </c>
      <c r="M541" s="76">
        <v>0.09000000000000001</v>
      </c>
      <c r="N541" s="77">
        <v>513</v>
      </c>
      <c r="O541" s="2" t="s">
        <v>12</v>
      </c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 t="s">
        <v>701</v>
      </c>
      <c r="M542" s="76">
        <v>0.09000000000000001</v>
      </c>
      <c r="N542" s="77">
        <v>513</v>
      </c>
      <c r="O542" s="2" t="s">
        <v>12</v>
      </c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 t="s">
        <v>702</v>
      </c>
      <c r="M543" s="76">
        <v>0.09000000000000001</v>
      </c>
      <c r="N543" s="77">
        <v>317</v>
      </c>
      <c r="O543" s="2" t="s">
        <v>199</v>
      </c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 t="s">
        <v>703</v>
      </c>
      <c r="M544" s="76">
        <v>0.1</v>
      </c>
      <c r="N544" s="77">
        <v>317</v>
      </c>
      <c r="O544" s="2" t="s">
        <v>9</v>
      </c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 t="s">
        <v>704</v>
      </c>
      <c r="M545" s="76">
        <v>0.1</v>
      </c>
      <c r="N545" s="77">
        <v>317</v>
      </c>
      <c r="O545" s="2" t="s">
        <v>199</v>
      </c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 t="s">
        <v>705</v>
      </c>
      <c r="M546" s="76">
        <v>0.1</v>
      </c>
      <c r="N546" s="77">
        <v>317</v>
      </c>
      <c r="O546" s="2" t="s">
        <v>9</v>
      </c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 t="s">
        <v>706</v>
      </c>
      <c r="M547" s="76">
        <v>0.09000000000000001</v>
      </c>
      <c r="N547" s="77">
        <v>513</v>
      </c>
      <c r="O547" s="2" t="s">
        <v>12</v>
      </c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 t="s">
        <v>707</v>
      </c>
      <c r="M548" s="76">
        <v>0.09000000000000001</v>
      </c>
      <c r="N548" s="77">
        <v>513</v>
      </c>
      <c r="O548" s="2" t="s">
        <v>12</v>
      </c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 t="s">
        <v>708</v>
      </c>
      <c r="M549" s="76">
        <v>0.095</v>
      </c>
      <c r="N549" s="77">
        <v>513</v>
      </c>
      <c r="O549" s="2" t="s">
        <v>12</v>
      </c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</sheetData>
  <sheetProtection sheet="1" selectLockedCells="1"/>
  <dataValidations count="4">
    <dataValidation allowBlank="1" showInputMessage="1" showErrorMessage="1" promptTitle="HW" prompt="#10-13 Must be completed when using revised STD 686 or STD 457 effective 12/2020" sqref="B11"/>
    <dataValidation allowBlank="1" showInputMessage="1" showErrorMessage="1" promptTitle="Claim Dep" prompt="#10-13 Must be completed when using revised STD 686 or STD 457 effective 12/2020" sqref="B12"/>
    <dataValidation allowBlank="1" showInputMessage="1" showErrorMessage="1" promptTitle="Other Income" prompt="#10-13 Must be completed when using revised STD 686 or STD 457 effective 12/2020" sqref="B13"/>
    <dataValidation allowBlank="1" showInputMessage="1" showErrorMessage="1" promptTitle="Deductions" prompt="#10-13 Must be completed when using revised STD 686 or STD 457 effective 12/2020" sqref="B14"/>
  </dataValidations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Monthly Version</dc:title>
  <dc:subject>Paycheck Calculator - Monthly Version</dc:subject>
  <dc:creator>Contreras, Alice</dc:creator>
  <cp:keywords>Paycheck Calculator - Tax Rate - Monthly Version</cp:keywords>
  <dc:description/>
  <cp:lastModifiedBy>Lockhart, Jeff L.</cp:lastModifiedBy>
  <cp:lastPrinted>2011-06-17T16:09:45Z</cp:lastPrinted>
  <dcterms:created xsi:type="dcterms:W3CDTF">2001-09-13T14:13:59Z</dcterms:created>
  <dcterms:modified xsi:type="dcterms:W3CDTF">2023-02-15T17:27:18Z</dcterms:modified>
  <cp:category>Paycheck Calculator - Tax Rate - Monthly Version</cp:category>
  <cp:version/>
  <cp:contentType/>
  <cp:contentStatus/>
</cp:coreProperties>
</file>